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comments4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5.xml" ContentType="application/vnd.openxmlformats-officedocument.spreadsheetml.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60" windowWidth="19035" windowHeight="10920" tabRatio="595"/>
  </bookViews>
  <sheets>
    <sheet name="Index" sheetId="20" r:id="rId1"/>
    <sheet name="Quarterly IS" sheetId="25" r:id="rId2"/>
    <sheet name="IS" sheetId="4" r:id="rId3"/>
    <sheet name="BS" sheetId="3" r:id="rId4"/>
    <sheet name="CF" sheetId="6" r:id="rId5"/>
    <sheet name="Working Capital " sheetId="7" r:id="rId6"/>
    <sheet name="Dep Capex " sheetId="8" r:id="rId7"/>
    <sheet name="Amort Intangible" sheetId="9" r:id="rId8"/>
    <sheet name="Debt" sheetId="23" r:id="rId9"/>
    <sheet name="Shareholders Equity" sheetId="10" r:id="rId10"/>
    <sheet name="Option value" sheetId="30" r:id="rId11"/>
    <sheet name="Shares Outstanding " sheetId="11" r:id="rId12"/>
    <sheet name="DCF Valuations" sheetId="27" r:id="rId13"/>
  </sheets>
  <definedNames>
    <definedName name="CIQWBGuid" hidden="1">"4c07ec0d-a4bd-43e1-8f7d-edc964c69827"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41647.7127314815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IQRCOMPSE5" hidden="1">#REF!</definedName>
  </definedNames>
  <calcPr calcId="125725" iterate="1"/>
</workbook>
</file>

<file path=xl/calcChain.xml><?xml version="1.0" encoding="utf-8"?>
<calcChain xmlns="http://schemas.openxmlformats.org/spreadsheetml/2006/main">
  <c r="L16" i="4"/>
  <c r="C41" i="27" l="1"/>
  <c r="C37"/>
  <c r="D37" s="1"/>
  <c r="C36"/>
  <c r="D36" s="1"/>
  <c r="C40"/>
  <c r="D40" s="1"/>
  <c r="C39"/>
  <c r="D39" s="1"/>
  <c r="K55"/>
  <c r="G64" i="4"/>
  <c r="G66"/>
  <c r="G58"/>
  <c r="G56"/>
  <c r="G57" s="1"/>
  <c r="G92"/>
  <c r="F92"/>
  <c r="E92"/>
  <c r="B7" i="30" l="1"/>
  <c r="B18" s="1"/>
  <c r="C12" i="11"/>
  <c r="B13" i="30"/>
  <c r="B24" s="1"/>
  <c r="B9"/>
  <c r="B22" s="1"/>
  <c r="D22" i="11"/>
  <c r="B8" i="30"/>
  <c r="B19" s="1"/>
  <c r="B21" s="1"/>
  <c r="H8" i="10"/>
  <c r="G8" i="3"/>
  <c r="G6" i="6"/>
  <c r="I75" i="25"/>
  <c r="H75"/>
  <c r="G75"/>
  <c r="F75"/>
  <c r="E75"/>
  <c r="D75"/>
  <c r="C75"/>
  <c r="I72"/>
  <c r="H72"/>
  <c r="G72"/>
  <c r="F72"/>
  <c r="E72"/>
  <c r="D72"/>
  <c r="C72"/>
  <c r="I69"/>
  <c r="H69"/>
  <c r="G69"/>
  <c r="F69"/>
  <c r="E69"/>
  <c r="D69"/>
  <c r="C69"/>
  <c r="I66"/>
  <c r="H66"/>
  <c r="G66"/>
  <c r="F66"/>
  <c r="E66"/>
  <c r="D66"/>
  <c r="C66"/>
  <c r="I60"/>
  <c r="H60"/>
  <c r="G60"/>
  <c r="F60"/>
  <c r="E60"/>
  <c r="D60"/>
  <c r="C60"/>
  <c r="I57"/>
  <c r="I58" s="1"/>
  <c r="H57"/>
  <c r="G57"/>
  <c r="F57"/>
  <c r="E57"/>
  <c r="D57"/>
  <c r="C57"/>
  <c r="I54"/>
  <c r="J54" s="1"/>
  <c r="J9" s="1"/>
  <c r="H54"/>
  <c r="G54"/>
  <c r="F54"/>
  <c r="E54"/>
  <c r="C54"/>
  <c r="C51"/>
  <c r="D54"/>
  <c r="D55" s="1"/>
  <c r="I51"/>
  <c r="H51"/>
  <c r="G51"/>
  <c r="F51"/>
  <c r="E51"/>
  <c r="D51"/>
  <c r="D52" s="1"/>
  <c r="O13" i="6"/>
  <c r="N13"/>
  <c r="M13"/>
  <c r="O67"/>
  <c r="N67"/>
  <c r="M67"/>
  <c r="L67"/>
  <c r="K67"/>
  <c r="J67"/>
  <c r="I67"/>
  <c r="O52"/>
  <c r="N52"/>
  <c r="M52"/>
  <c r="L52"/>
  <c r="K52"/>
  <c r="J52"/>
  <c r="I52"/>
  <c r="O12" i="23"/>
  <c r="N12"/>
  <c r="M12"/>
  <c r="O65" i="6"/>
  <c r="N65"/>
  <c r="M65"/>
  <c r="G12" i="27"/>
  <c r="F12"/>
  <c r="E12"/>
  <c r="G11"/>
  <c r="F11"/>
  <c r="E11"/>
  <c r="C5"/>
  <c r="L12" i="23"/>
  <c r="K12"/>
  <c r="J12"/>
  <c r="I12"/>
  <c r="H12"/>
  <c r="H28" i="3"/>
  <c r="I28" s="1"/>
  <c r="J28" s="1"/>
  <c r="K28" s="1"/>
  <c r="L28" s="1"/>
  <c r="M28" s="1"/>
  <c r="N28" s="1"/>
  <c r="O28" s="1"/>
  <c r="F63" i="25" l="1"/>
  <c r="D63"/>
  <c r="E52"/>
  <c r="C63"/>
  <c r="G63"/>
  <c r="E63"/>
  <c r="M68" i="6"/>
  <c r="O68"/>
  <c r="H63" i="25"/>
  <c r="G9" i="4"/>
  <c r="I63" i="25"/>
  <c r="D61"/>
  <c r="F61"/>
  <c r="H61"/>
  <c r="J60"/>
  <c r="E55"/>
  <c r="E61"/>
  <c r="G61"/>
  <c r="I61"/>
  <c r="D58"/>
  <c r="F58"/>
  <c r="H58"/>
  <c r="E58"/>
  <c r="G58"/>
  <c r="F55"/>
  <c r="H55"/>
  <c r="F52"/>
  <c r="H52"/>
  <c r="J51"/>
  <c r="J57"/>
  <c r="G55"/>
  <c r="I55"/>
  <c r="G52"/>
  <c r="I52"/>
  <c r="N68" i="6"/>
  <c r="J10" i="25" l="1"/>
  <c r="G10" i="4"/>
  <c r="J8" i="25"/>
  <c r="G8" i="4"/>
  <c r="J11" i="25"/>
  <c r="G11" i="4"/>
  <c r="J63" i="25"/>
  <c r="C26" i="27"/>
  <c r="C21"/>
  <c r="J12" i="25" l="1"/>
  <c r="J75"/>
  <c r="J69"/>
  <c r="J72"/>
  <c r="J66"/>
  <c r="G12" i="4"/>
  <c r="G93" s="1"/>
  <c r="A1" i="27"/>
  <c r="A1" i="11"/>
  <c r="B28" i="30"/>
  <c r="B27"/>
  <c r="B26"/>
  <c r="B29" s="1"/>
  <c r="J14" i="25" l="1"/>
  <c r="G14" i="4"/>
  <c r="J18" i="25"/>
  <c r="G18" i="4"/>
  <c r="J15" i="25"/>
  <c r="J19"/>
  <c r="G19" i="4"/>
  <c r="J20" i="25"/>
  <c r="G20" i="4"/>
  <c r="B14" i="30"/>
  <c r="B25" s="1"/>
  <c r="A1"/>
  <c r="A1" i="10"/>
  <c r="E41" i="23"/>
  <c r="G24"/>
  <c r="G18"/>
  <c r="J24" i="25" l="1"/>
  <c r="J27" s="1"/>
  <c r="H21" i="23"/>
  <c r="H16"/>
  <c r="H8"/>
  <c r="H10" s="1"/>
  <c r="A1"/>
  <c r="G14" i="9" l="1"/>
  <c r="H10" s="1"/>
  <c r="G7"/>
  <c r="F7"/>
  <c r="G6"/>
  <c r="G8" s="1"/>
  <c r="A3"/>
  <c r="A1"/>
  <c r="B76" i="8" l="1"/>
  <c r="C71"/>
  <c r="C70"/>
  <c r="M72" l="1"/>
  <c r="O72"/>
  <c r="N72"/>
  <c r="H72"/>
  <c r="J72"/>
  <c r="L72"/>
  <c r="I72"/>
  <c r="K72"/>
  <c r="B59"/>
  <c r="C54"/>
  <c r="C53"/>
  <c r="B42"/>
  <c r="C37"/>
  <c r="C36"/>
  <c r="L38" s="1"/>
  <c r="F23"/>
  <c r="H20" s="1"/>
  <c r="E23"/>
  <c r="H19"/>
  <c r="H18"/>
  <c r="G14"/>
  <c r="G7"/>
  <c r="F7"/>
  <c r="E7"/>
  <c r="G6"/>
  <c r="A1"/>
  <c r="K55" l="1"/>
  <c r="H21"/>
  <c r="I55"/>
  <c r="O55"/>
  <c r="N55"/>
  <c r="M55"/>
  <c r="H55"/>
  <c r="J55"/>
  <c r="L55"/>
  <c r="J38"/>
  <c r="M38"/>
  <c r="O38"/>
  <c r="N38"/>
  <c r="I38"/>
  <c r="H38" s="1"/>
  <c r="K38"/>
  <c r="G8"/>
  <c r="D18" i="7"/>
  <c r="G17"/>
  <c r="G42" s="1"/>
  <c r="F17"/>
  <c r="F42" s="1"/>
  <c r="E17"/>
  <c r="E42" s="1"/>
  <c r="G16"/>
  <c r="G39" s="1"/>
  <c r="F16"/>
  <c r="F39" s="1"/>
  <c r="E16"/>
  <c r="E39" s="1"/>
  <c r="G15"/>
  <c r="F15"/>
  <c r="E15"/>
  <c r="G14"/>
  <c r="G33" s="1"/>
  <c r="F14"/>
  <c r="E14"/>
  <c r="E33" s="1"/>
  <c r="F18" l="1"/>
  <c r="F33"/>
  <c r="E18"/>
  <c r="G18"/>
  <c r="D12" l="1"/>
  <c r="G11"/>
  <c r="F11"/>
  <c r="E11"/>
  <c r="G10"/>
  <c r="F10"/>
  <c r="E10"/>
  <c r="G7"/>
  <c r="F7"/>
  <c r="F34" s="1"/>
  <c r="E34" s="1"/>
  <c r="E7"/>
  <c r="D7"/>
  <c r="C7"/>
  <c r="G6"/>
  <c r="A1"/>
  <c r="G68" i="6"/>
  <c r="F68"/>
  <c r="E68"/>
  <c r="H67"/>
  <c r="H52"/>
  <c r="G47"/>
  <c r="F47"/>
  <c r="E47"/>
  <c r="G30"/>
  <c r="F30"/>
  <c r="E30"/>
  <c r="L13"/>
  <c r="K13"/>
  <c r="J13"/>
  <c r="I13"/>
  <c r="H13"/>
  <c r="E12" i="7" l="1"/>
  <c r="G12"/>
  <c r="F12"/>
  <c r="E40"/>
  <c r="E43"/>
  <c r="G40"/>
  <c r="F40" s="1"/>
  <c r="G43"/>
  <c r="F43" s="1"/>
  <c r="G29" l="1"/>
  <c r="G36"/>
  <c r="G26"/>
  <c r="F26" s="1"/>
  <c r="E26" s="1"/>
  <c r="A1" i="6"/>
  <c r="G57" i="3"/>
  <c r="G59" s="1"/>
  <c r="G9" i="10" s="1"/>
  <c r="H6" s="1"/>
  <c r="F57" i="3"/>
  <c r="F59" s="1"/>
  <c r="E57"/>
  <c r="G46"/>
  <c r="H46" s="1"/>
  <c r="I46" s="1"/>
  <c r="J46" s="1"/>
  <c r="K46" s="1"/>
  <c r="L46" s="1"/>
  <c r="M46" s="1"/>
  <c r="N46" s="1"/>
  <c r="O46" s="1"/>
  <c r="F46"/>
  <c r="E46"/>
  <c r="H40"/>
  <c r="H38"/>
  <c r="H37"/>
  <c r="H36"/>
  <c r="G34"/>
  <c r="F34"/>
  <c r="E34"/>
  <c r="H29"/>
  <c r="H25" i="6" s="1"/>
  <c r="H22" i="3"/>
  <c r="I22" s="1"/>
  <c r="I20"/>
  <c r="J20" s="1"/>
  <c r="H20"/>
  <c r="E59" l="1"/>
  <c r="I29"/>
  <c r="F29" i="7"/>
  <c r="E29" s="1"/>
  <c r="G27" s="1"/>
  <c r="G30"/>
  <c r="F36"/>
  <c r="E36" s="1"/>
  <c r="G34" s="1"/>
  <c r="G37"/>
  <c r="I25" i="6" l="1"/>
  <c r="J29" i="3"/>
  <c r="J25" i="6" s="1"/>
  <c r="F37" i="7"/>
  <c r="E37" s="1"/>
  <c r="H18" i="3" l="1"/>
  <c r="I18" s="1"/>
  <c r="H17"/>
  <c r="H16"/>
  <c r="G14"/>
  <c r="F14"/>
  <c r="E14"/>
  <c r="H12"/>
  <c r="H10"/>
  <c r="H22" i="6" s="1"/>
  <c r="H9" i="3"/>
  <c r="I9" s="1"/>
  <c r="C4" l="1"/>
  <c r="A1"/>
  <c r="G89" i="4"/>
  <c r="G90" s="1"/>
  <c r="F89"/>
  <c r="E89"/>
  <c r="D89"/>
  <c r="C89"/>
  <c r="G86"/>
  <c r="G87" s="1"/>
  <c r="F86"/>
  <c r="E86"/>
  <c r="D86"/>
  <c r="C86"/>
  <c r="G83"/>
  <c r="G84" s="1"/>
  <c r="F83"/>
  <c r="E83"/>
  <c r="D83"/>
  <c r="C83"/>
  <c r="G80"/>
  <c r="G81" s="1"/>
  <c r="F80"/>
  <c r="E80"/>
  <c r="D80"/>
  <c r="C80"/>
  <c r="G74"/>
  <c r="F74"/>
  <c r="H73"/>
  <c r="G72"/>
  <c r="F72"/>
  <c r="H71"/>
  <c r="E68"/>
  <c r="G67"/>
  <c r="F67"/>
  <c r="H66"/>
  <c r="G65"/>
  <c r="G68" s="1"/>
  <c r="F65"/>
  <c r="F68" s="1"/>
  <c r="F69" s="1"/>
  <c r="H64"/>
  <c r="E60"/>
  <c r="E76" s="1"/>
  <c r="G59"/>
  <c r="F59"/>
  <c r="H58"/>
  <c r="F57"/>
  <c r="F60" s="1"/>
  <c r="F61" s="1"/>
  <c r="H56"/>
  <c r="G24"/>
  <c r="F24"/>
  <c r="E24"/>
  <c r="D24"/>
  <c r="C24"/>
  <c r="F12"/>
  <c r="E12"/>
  <c r="D12"/>
  <c r="C12"/>
  <c r="H11"/>
  <c r="H10"/>
  <c r="D5"/>
  <c r="D5" i="27" s="1"/>
  <c r="A1" i="4"/>
  <c r="I12" i="25"/>
  <c r="H12"/>
  <c r="G12"/>
  <c r="F12"/>
  <c r="E12"/>
  <c r="D12"/>
  <c r="C12"/>
  <c r="A1"/>
  <c r="D15" l="1"/>
  <c r="D70"/>
  <c r="D67"/>
  <c r="D76"/>
  <c r="D73"/>
  <c r="E27"/>
  <c r="D27" s="1"/>
  <c r="E70"/>
  <c r="E67"/>
  <c r="E76"/>
  <c r="E73"/>
  <c r="H68" i="4"/>
  <c r="C27" i="25"/>
  <c r="I15" s="1"/>
  <c r="C76"/>
  <c r="C67"/>
  <c r="C73"/>
  <c r="C70"/>
  <c r="G27"/>
  <c r="F27" s="1"/>
  <c r="G76"/>
  <c r="G73"/>
  <c r="G70"/>
  <c r="G67"/>
  <c r="F15"/>
  <c r="F76"/>
  <c r="F70"/>
  <c r="F67"/>
  <c r="F73"/>
  <c r="C90" i="4"/>
  <c r="E90"/>
  <c r="C81"/>
  <c r="E81"/>
  <c r="D81" s="1"/>
  <c r="D84"/>
  <c r="F84"/>
  <c r="C87"/>
  <c r="E87"/>
  <c r="D87" s="1"/>
  <c r="D90"/>
  <c r="F90"/>
  <c r="C6" i="9"/>
  <c r="C6" i="8"/>
  <c r="C6" i="7"/>
  <c r="E93" i="4"/>
  <c r="E6" i="9"/>
  <c r="E6" i="8"/>
  <c r="E8" s="1"/>
  <c r="E6" i="7"/>
  <c r="D6" i="9"/>
  <c r="D6" i="8"/>
  <c r="D6" i="7"/>
  <c r="F93" i="4"/>
  <c r="F6" i="9"/>
  <c r="F8" s="1"/>
  <c r="F6" i="8"/>
  <c r="F8" s="1"/>
  <c r="F6" i="7"/>
  <c r="G69" i="4"/>
  <c r="F81"/>
  <c r="C84"/>
  <c r="E84"/>
  <c r="F87"/>
  <c r="I27" i="25"/>
  <c r="H27" s="1"/>
  <c r="I67"/>
  <c r="I73"/>
  <c r="I70"/>
  <c r="I76"/>
  <c r="H67"/>
  <c r="H73"/>
  <c r="H70"/>
  <c r="H76"/>
  <c r="C15"/>
  <c r="E15"/>
  <c r="H15"/>
  <c r="G15" s="1"/>
  <c r="D21" i="27"/>
  <c r="D26"/>
  <c r="D4" i="3"/>
  <c r="D5" i="23" s="1"/>
  <c r="H69" i="4"/>
  <c r="H9"/>
  <c r="H60"/>
  <c r="G60"/>
  <c r="F15"/>
  <c r="C5" i="10"/>
  <c r="C5" i="23"/>
  <c r="C5" i="9"/>
  <c r="C5" i="8"/>
  <c r="C5" i="7"/>
  <c r="C4" i="6"/>
  <c r="G20" i="7"/>
  <c r="D5" i="10"/>
  <c r="D5" i="9"/>
  <c r="D5" i="8"/>
  <c r="D5" i="7"/>
  <c r="D4" i="6"/>
  <c r="H61" i="4" l="1"/>
  <c r="F27" i="7"/>
  <c r="E27" s="1"/>
  <c r="F30"/>
  <c r="E30" s="1"/>
  <c r="E15" i="4"/>
  <c r="D15" s="1"/>
  <c r="F27"/>
  <c r="H76"/>
  <c r="H8"/>
  <c r="H12" s="1"/>
  <c r="G61"/>
  <c r="G76"/>
  <c r="F76" s="1"/>
  <c r="H6" i="9"/>
  <c r="H7" s="1"/>
  <c r="H11" s="1"/>
  <c r="H6" i="7"/>
  <c r="H86" i="4"/>
  <c r="H89"/>
  <c r="H83"/>
  <c r="F42" i="3"/>
  <c r="F20" i="7"/>
  <c r="H80" i="4" l="1"/>
  <c r="C15"/>
  <c r="D27"/>
  <c r="H6" i="8"/>
  <c r="H7" s="1"/>
  <c r="E27" i="4"/>
  <c r="E7" i="27" s="1"/>
  <c r="F7"/>
  <c r="H92" i="4"/>
  <c r="H46" s="1"/>
  <c r="E42" i="3"/>
  <c r="F60"/>
  <c r="E60" s="1"/>
  <c r="H29" i="7"/>
  <c r="H11" s="1"/>
  <c r="H13" i="3" s="1"/>
  <c r="H26" i="7"/>
  <c r="H10" s="1"/>
  <c r="H30" i="8"/>
  <c r="H11"/>
  <c r="H29"/>
  <c r="H28"/>
  <c r="H31"/>
  <c r="H40" i="6"/>
  <c r="E20" i="7"/>
  <c r="G22"/>
  <c r="G13" i="27" s="1"/>
  <c r="C27" i="4" l="1"/>
  <c r="C7" i="27" s="1"/>
  <c r="D7"/>
  <c r="H24" i="6"/>
  <c r="H47"/>
  <c r="H12" i="27"/>
  <c r="H12" i="7"/>
  <c r="H11" i="3"/>
  <c r="D20" i="7"/>
  <c r="F22"/>
  <c r="E22" l="1"/>
  <c r="F13" i="27"/>
  <c r="H23" i="6"/>
  <c r="F33" i="4" l="1"/>
  <c r="E33"/>
  <c r="E95" s="1"/>
  <c r="E10" i="27" s="1"/>
  <c r="D33" i="4"/>
  <c r="C33"/>
  <c r="C95" s="1"/>
  <c r="C10" i="27" s="1"/>
  <c r="G23" i="3"/>
  <c r="F23"/>
  <c r="E23"/>
  <c r="K22"/>
  <c r="L22" s="1"/>
  <c r="M22" s="1"/>
  <c r="N22" s="1"/>
  <c r="O22" s="1"/>
  <c r="J22"/>
  <c r="F74" i="6"/>
  <c r="G71"/>
  <c r="G74" s="1"/>
  <c r="H73" s="1"/>
  <c r="F71"/>
  <c r="E71"/>
  <c r="E74" s="1"/>
  <c r="H13" i="23"/>
  <c r="H17" s="1"/>
  <c r="D36" i="4" l="1"/>
  <c r="D95"/>
  <c r="D10" i="27" s="1"/>
  <c r="F95" i="4"/>
  <c r="F10" i="27" s="1"/>
  <c r="F14" s="1"/>
  <c r="F36" i="4"/>
  <c r="H18" i="23"/>
  <c r="H27" i="3" s="1"/>
  <c r="H65" i="6"/>
  <c r="H68" s="1"/>
  <c r="C36" i="4" l="1"/>
  <c r="C38" s="1"/>
  <c r="C42" s="1"/>
  <c r="D38"/>
  <c r="D42" s="1"/>
  <c r="E36"/>
  <c r="E38" s="1"/>
  <c r="E42" s="1"/>
  <c r="F38"/>
  <c r="F42" s="1"/>
  <c r="H28" i="23"/>
  <c r="I16"/>
  <c r="H30" l="1"/>
  <c r="H24"/>
  <c r="H39" i="3" s="1"/>
  <c r="H10" i="8"/>
  <c r="H14" i="9"/>
  <c r="I10" s="1"/>
  <c r="J18" i="3"/>
  <c r="K18" s="1"/>
  <c r="L18" s="1"/>
  <c r="M18" s="1"/>
  <c r="N18" s="1"/>
  <c r="O18" s="1"/>
  <c r="J9"/>
  <c r="K9" s="1"/>
  <c r="L9" s="1"/>
  <c r="M9" s="1"/>
  <c r="N9" s="1"/>
  <c r="O9" s="1"/>
  <c r="I12"/>
  <c r="J12" s="1"/>
  <c r="K12" s="1"/>
  <c r="L12" s="1"/>
  <c r="M12" s="1"/>
  <c r="N12" s="1"/>
  <c r="O12" s="1"/>
  <c r="I10"/>
  <c r="J10" s="1"/>
  <c r="K10" s="1"/>
  <c r="K20"/>
  <c r="L20" s="1"/>
  <c r="M20" s="1"/>
  <c r="N20" s="1"/>
  <c r="O20" s="1"/>
  <c r="H32" i="23" l="1"/>
  <c r="H34" s="1"/>
  <c r="H36" s="1"/>
  <c r="H30" i="4" s="1"/>
  <c r="I22" i="6"/>
  <c r="J22"/>
  <c r="L10" i="3"/>
  <c r="K22" i="6"/>
  <c r="L22"/>
  <c r="H21" i="3"/>
  <c r="I21" i="23"/>
  <c r="I24" s="1"/>
  <c r="M10" i="3" l="1"/>
  <c r="M22" i="6" s="1"/>
  <c r="I39" i="3"/>
  <c r="I32" i="23"/>
  <c r="I34" s="1"/>
  <c r="J21"/>
  <c r="J24" s="1"/>
  <c r="G42" i="3"/>
  <c r="G60" s="1"/>
  <c r="G62" s="1"/>
  <c r="N10" l="1"/>
  <c r="N22" i="6" s="1"/>
  <c r="J39" i="3"/>
  <c r="K21" i="23"/>
  <c r="K24" s="1"/>
  <c r="K32" s="1"/>
  <c r="K34" s="1"/>
  <c r="J32"/>
  <c r="J34" s="1"/>
  <c r="O10" i="3" l="1"/>
  <c r="O22" i="6" s="1"/>
  <c r="K39" i="3"/>
  <c r="L21" i="23"/>
  <c r="L24" s="1"/>
  <c r="L39" i="3" l="1"/>
  <c r="M21" i="23"/>
  <c r="M24" s="1"/>
  <c r="M39" i="3" s="1"/>
  <c r="L32" i="23"/>
  <c r="L34" s="1"/>
  <c r="M32" l="1"/>
  <c r="M34" s="1"/>
  <c r="N21"/>
  <c r="N24" s="1"/>
  <c r="N39" i="3" s="1"/>
  <c r="H14" i="4"/>
  <c r="H15" s="1"/>
  <c r="H18"/>
  <c r="H19"/>
  <c r="H20"/>
  <c r="I56"/>
  <c r="J56" s="1"/>
  <c r="K56" s="1"/>
  <c r="L56" s="1"/>
  <c r="M56" s="1"/>
  <c r="G15"/>
  <c r="G27" s="1"/>
  <c r="H77"/>
  <c r="G77"/>
  <c r="F77"/>
  <c r="B77" i="8"/>
  <c r="B78" s="1"/>
  <c r="B79" s="1"/>
  <c r="B80" s="1"/>
  <c r="B81" s="1"/>
  <c r="B82" s="1"/>
  <c r="B60"/>
  <c r="B43"/>
  <c r="B44" s="1"/>
  <c r="B45" s="1"/>
  <c r="B46" s="1"/>
  <c r="B47" s="1"/>
  <c r="B48" s="1"/>
  <c r="B61"/>
  <c r="B62" s="1"/>
  <c r="B63" s="1"/>
  <c r="B64" s="1"/>
  <c r="B65" s="1"/>
  <c r="H7" i="7" l="1"/>
  <c r="H33" s="1"/>
  <c r="H14" s="1"/>
  <c r="H30" i="3" s="1"/>
  <c r="N56" i="4"/>
  <c r="H24"/>
  <c r="H27" s="1"/>
  <c r="G7" i="27"/>
  <c r="G33" i="4"/>
  <c r="N32" i="23"/>
  <c r="N34" s="1"/>
  <c r="O21"/>
  <c r="O24" s="1"/>
  <c r="H42" i="7"/>
  <c r="H17" s="1"/>
  <c r="H33" i="3" s="1"/>
  <c r="H29" i="6" s="1"/>
  <c r="H36" i="7"/>
  <c r="H15" s="1"/>
  <c r="H31" i="3" s="1"/>
  <c r="H27" i="6" s="1"/>
  <c r="H39" i="7" l="1"/>
  <c r="H16" s="1"/>
  <c r="H32" i="3" s="1"/>
  <c r="H28" i="6" s="1"/>
  <c r="H7" i="27"/>
  <c r="H10" s="1"/>
  <c r="H45" i="4"/>
  <c r="O56"/>
  <c r="O32" i="23"/>
  <c r="O34" s="1"/>
  <c r="O39" i="3"/>
  <c r="G95" i="4"/>
  <c r="G10" i="27" s="1"/>
  <c r="G14" s="1"/>
  <c r="G36" i="4"/>
  <c r="G38" s="1"/>
  <c r="G42" s="1"/>
  <c r="H26" i="6"/>
  <c r="H18" i="7"/>
  <c r="H20" s="1"/>
  <c r="H34" i="3" l="1"/>
  <c r="H42" s="1"/>
  <c r="H22" i="7"/>
  <c r="H13" i="27" s="1"/>
  <c r="I58" i="4"/>
  <c r="J58" s="1"/>
  <c r="I64"/>
  <c r="J64" s="1"/>
  <c r="K64" s="1"/>
  <c r="L64" s="1"/>
  <c r="M64" s="1"/>
  <c r="I66"/>
  <c r="J66" s="1"/>
  <c r="I60" l="1"/>
  <c r="I8" s="1"/>
  <c r="I68"/>
  <c r="I9" s="1"/>
  <c r="N64"/>
  <c r="I69"/>
  <c r="I61"/>
  <c r="K58"/>
  <c r="J60"/>
  <c r="K66"/>
  <c r="J68"/>
  <c r="O64" l="1"/>
  <c r="K60"/>
  <c r="L58"/>
  <c r="J61"/>
  <c r="J8"/>
  <c r="K68"/>
  <c r="L66"/>
  <c r="J69"/>
  <c r="J9"/>
  <c r="L68" l="1"/>
  <c r="M66"/>
  <c r="L60"/>
  <c r="L61" s="1"/>
  <c r="M58"/>
  <c r="K8"/>
  <c r="K61"/>
  <c r="L8"/>
  <c r="K9"/>
  <c r="K69"/>
  <c r="L69"/>
  <c r="L9"/>
  <c r="N66" l="1"/>
  <c r="M68"/>
  <c r="M9" s="1"/>
  <c r="N58"/>
  <c r="M60"/>
  <c r="O66" l="1"/>
  <c r="O68" s="1"/>
  <c r="N68"/>
  <c r="M69"/>
  <c r="M8"/>
  <c r="M61"/>
  <c r="O58"/>
  <c r="O60" s="1"/>
  <c r="N60"/>
  <c r="O69" l="1"/>
  <c r="O9"/>
  <c r="N69"/>
  <c r="N9"/>
  <c r="N8"/>
  <c r="N61"/>
  <c r="O61"/>
  <c r="O8"/>
  <c r="E5" l="1"/>
  <c r="F5" s="1"/>
  <c r="E4" i="3" l="1"/>
  <c r="E5" i="7" s="1"/>
  <c r="F4" i="3"/>
  <c r="F5" i="10" s="1"/>
  <c r="F5" i="27"/>
  <c r="F26" s="1"/>
  <c r="G5" i="4"/>
  <c r="E5" i="27"/>
  <c r="E21" s="1"/>
  <c r="E5" i="10"/>
  <c r="E4" i="6"/>
  <c r="F21" i="27"/>
  <c r="E5" i="23"/>
  <c r="E5" i="8"/>
  <c r="E5" i="9"/>
  <c r="F5" i="23"/>
  <c r="E26" i="27"/>
  <c r="I36" i="3"/>
  <c r="J36"/>
  <c r="K36" s="1"/>
  <c r="L36" s="1"/>
  <c r="M36" s="1"/>
  <c r="N36" s="1"/>
  <c r="O36" s="1"/>
  <c r="I37"/>
  <c r="J37"/>
  <c r="I38"/>
  <c r="J38"/>
  <c r="K38" s="1"/>
  <c r="L38" s="1"/>
  <c r="M38" s="1"/>
  <c r="N38" s="1"/>
  <c r="O38" s="1"/>
  <c r="I40"/>
  <c r="J40"/>
  <c r="I16"/>
  <c r="J16"/>
  <c r="K16" s="1"/>
  <c r="L16" s="1"/>
  <c r="M16" s="1"/>
  <c r="N16" s="1"/>
  <c r="O16" s="1"/>
  <c r="I17"/>
  <c r="J17" s="1"/>
  <c r="K17" s="1"/>
  <c r="L17" s="1"/>
  <c r="M17" s="1"/>
  <c r="N17" s="1"/>
  <c r="O17" s="1"/>
  <c r="K37"/>
  <c r="L37" s="1"/>
  <c r="M37" s="1"/>
  <c r="N37" s="1"/>
  <c r="O37" s="1"/>
  <c r="K40"/>
  <c r="L40" s="1"/>
  <c r="M40" s="1"/>
  <c r="N40" s="1"/>
  <c r="O40" s="1"/>
  <c r="K29"/>
  <c r="L29"/>
  <c r="L25" i="6" s="1"/>
  <c r="K25"/>
  <c r="M29" i="3"/>
  <c r="N29" s="1"/>
  <c r="N25" i="6" l="1"/>
  <c r="O29" i="3"/>
  <c r="O25" i="6" s="1"/>
  <c r="M25"/>
  <c r="F5" i="8"/>
  <c r="F5" i="7"/>
  <c r="H5" i="4"/>
  <c r="G5" i="27"/>
  <c r="G4" i="3"/>
  <c r="F4" i="6"/>
  <c r="F5" i="9"/>
  <c r="H4" i="3" l="1"/>
  <c r="I5" i="4"/>
  <c r="H5" i="27"/>
  <c r="G4" i="6"/>
  <c r="G5" i="7"/>
  <c r="G5" i="23"/>
  <c r="G5" i="8"/>
  <c r="G5" i="9"/>
  <c r="G5" i="10"/>
  <c r="G26" i="27"/>
  <c r="G21"/>
  <c r="H21" l="1"/>
  <c r="H26"/>
  <c r="H5" i="8"/>
  <c r="H4" i="6"/>
  <c r="H5" i="7"/>
  <c r="H5" i="23"/>
  <c r="H5" i="10"/>
  <c r="H5" i="9"/>
  <c r="J5" i="4"/>
  <c r="I5" i="27"/>
  <c r="I4" i="3"/>
  <c r="I5" i="7" l="1"/>
  <c r="I5" i="23"/>
  <c r="I4" i="6"/>
  <c r="I5" i="9"/>
  <c r="I5" i="10"/>
  <c r="I5" i="8"/>
  <c r="J4" i="3"/>
  <c r="J5" i="27"/>
  <c r="K5" i="4"/>
  <c r="I21" i="27"/>
  <c r="I26"/>
  <c r="L5" i="4" l="1"/>
  <c r="K5" i="27"/>
  <c r="K4" i="3"/>
  <c r="J4" i="6"/>
  <c r="J5" i="9"/>
  <c r="J5" i="8"/>
  <c r="J5" i="7"/>
  <c r="J5" i="10"/>
  <c r="J5" i="23"/>
  <c r="J26" i="27"/>
  <c r="J21"/>
  <c r="L4" i="3" l="1"/>
  <c r="L5" i="27"/>
  <c r="M5" i="4"/>
  <c r="K4" i="6"/>
  <c r="K5" i="7"/>
  <c r="K5" i="23"/>
  <c r="K5" i="8"/>
  <c r="K5" i="10"/>
  <c r="K5" i="9"/>
  <c r="K21" i="27"/>
  <c r="K26"/>
  <c r="M5" l="1"/>
  <c r="M4" i="3"/>
  <c r="N5" i="4"/>
  <c r="L4" i="6"/>
  <c r="L5" i="10"/>
  <c r="L5" i="7"/>
  <c r="L5" i="23"/>
  <c r="L5" i="9"/>
  <c r="L5" i="8"/>
  <c r="L21" i="27"/>
  <c r="L26"/>
  <c r="N4" i="3" l="1"/>
  <c r="O5" i="4"/>
  <c r="N5" i="27"/>
  <c r="M26"/>
  <c r="M21"/>
  <c r="M5" i="10"/>
  <c r="M5" i="9"/>
  <c r="M4" i="6"/>
  <c r="M5" i="8"/>
  <c r="M5" i="23"/>
  <c r="M5" i="7"/>
  <c r="N26" i="27" l="1"/>
  <c r="N21"/>
  <c r="N5" i="10"/>
  <c r="N4" i="6"/>
  <c r="N5" i="9"/>
  <c r="N5" i="23"/>
  <c r="N5" i="7"/>
  <c r="N5" i="8"/>
  <c r="O5" i="27"/>
  <c r="O4" i="3"/>
  <c r="O5" i="10" l="1"/>
  <c r="O4" i="6"/>
  <c r="O5" i="7"/>
  <c r="O5" i="23"/>
  <c r="O5" i="8"/>
  <c r="O5" i="9"/>
  <c r="O26" i="27"/>
  <c r="O21"/>
  <c r="I71" i="4"/>
  <c r="J71" s="1"/>
  <c r="I73"/>
  <c r="J73" s="1"/>
  <c r="I10"/>
  <c r="J76"/>
  <c r="J77" s="1"/>
  <c r="I76"/>
  <c r="I77" s="1"/>
  <c r="I11" l="1"/>
  <c r="I12" s="1"/>
  <c r="K71"/>
  <c r="J10"/>
  <c r="K73"/>
  <c r="J11"/>
  <c r="I80"/>
  <c r="I14" s="1"/>
  <c r="I7" i="7" s="1"/>
  <c r="I6" i="9"/>
  <c r="I7" s="1"/>
  <c r="I11" s="1"/>
  <c r="I14" s="1"/>
  <c r="I6" i="8" l="1"/>
  <c r="I7" s="1"/>
  <c r="I6" i="7"/>
  <c r="I92" i="4"/>
  <c r="I46" s="1"/>
  <c r="I83"/>
  <c r="I18" s="1"/>
  <c r="I24" s="1"/>
  <c r="I86"/>
  <c r="I19" s="1"/>
  <c r="I89"/>
  <c r="I20" s="1"/>
  <c r="I21" i="3"/>
  <c r="J10" i="9"/>
  <c r="L71" i="4"/>
  <c r="K10"/>
  <c r="K76"/>
  <c r="K77" s="1"/>
  <c r="I15"/>
  <c r="I40" i="6"/>
  <c r="I33" i="7"/>
  <c r="I14" s="1"/>
  <c r="I36"/>
  <c r="I15" s="1"/>
  <c r="I31" i="3" s="1"/>
  <c r="I27" i="6" s="1"/>
  <c r="I39" i="7"/>
  <c r="I16" s="1"/>
  <c r="I32" i="3" s="1"/>
  <c r="I28" i="6" s="1"/>
  <c r="I42" i="7"/>
  <c r="I17" s="1"/>
  <c r="I33" i="3" s="1"/>
  <c r="I29" i="6" s="1"/>
  <c r="K11" i="4"/>
  <c r="L73"/>
  <c r="J12"/>
  <c r="I26" i="7" l="1"/>
  <c r="I10" s="1"/>
  <c r="I29"/>
  <c r="I11" s="1"/>
  <c r="I13" i="3" s="1"/>
  <c r="I24" i="6" s="1"/>
  <c r="I27" i="4"/>
  <c r="I31" i="8"/>
  <c r="I30"/>
  <c r="I11"/>
  <c r="I28"/>
  <c r="I29"/>
  <c r="I30" i="3"/>
  <c r="I26" i="6" s="1"/>
  <c r="I18" i="7"/>
  <c r="L76" i="4"/>
  <c r="L77" s="1"/>
  <c r="M71"/>
  <c r="L10"/>
  <c r="J80"/>
  <c r="J14" s="1"/>
  <c r="J7" i="7" s="1"/>
  <c r="J6" i="8"/>
  <c r="J7" s="1"/>
  <c r="J6" i="9"/>
  <c r="J7" s="1"/>
  <c r="J11" s="1"/>
  <c r="J6" i="7"/>
  <c r="J83" i="4"/>
  <c r="J18" s="1"/>
  <c r="J86"/>
  <c r="J19" s="1"/>
  <c r="J89"/>
  <c r="J20" s="1"/>
  <c r="J92"/>
  <c r="J46" s="1"/>
  <c r="M73"/>
  <c r="L11"/>
  <c r="I47" i="6"/>
  <c r="I12" i="27"/>
  <c r="I7"/>
  <c r="I10" s="1"/>
  <c r="I45" i="4"/>
  <c r="K12"/>
  <c r="J14" i="9"/>
  <c r="I12" i="7" l="1"/>
  <c r="I20" s="1"/>
  <c r="I22" s="1"/>
  <c r="I13" i="27" s="1"/>
  <c r="I11" i="3"/>
  <c r="I23" i="6" s="1"/>
  <c r="K6" i="8"/>
  <c r="K7" s="1"/>
  <c r="K6" i="9"/>
  <c r="K7" s="1"/>
  <c r="K11" s="1"/>
  <c r="K80" i="4"/>
  <c r="K14" s="1"/>
  <c r="K7" i="7" s="1"/>
  <c r="K92" i="4"/>
  <c r="K46" s="1"/>
  <c r="K83"/>
  <c r="K18" s="1"/>
  <c r="K86"/>
  <c r="K19" s="1"/>
  <c r="K89"/>
  <c r="K20" s="1"/>
  <c r="K6" i="7"/>
  <c r="M11" i="4"/>
  <c r="N73"/>
  <c r="J24"/>
  <c r="J15"/>
  <c r="J27" s="1"/>
  <c r="L12"/>
  <c r="K10" i="9"/>
  <c r="J21" i="3"/>
  <c r="J26" i="7"/>
  <c r="J10" s="1"/>
  <c r="J29"/>
  <c r="J11" s="1"/>
  <c r="J13" i="3" s="1"/>
  <c r="J40" i="6"/>
  <c r="J31" i="8"/>
  <c r="J11"/>
  <c r="J30"/>
  <c r="J28"/>
  <c r="J29"/>
  <c r="J33" i="7"/>
  <c r="J14" s="1"/>
  <c r="J36"/>
  <c r="J15" s="1"/>
  <c r="J31" i="3" s="1"/>
  <c r="J27" i="6" s="1"/>
  <c r="J39" i="7"/>
  <c r="J16" s="1"/>
  <c r="J32" i="3" s="1"/>
  <c r="J28" i="6" s="1"/>
  <c r="J42" i="7"/>
  <c r="J17" s="1"/>
  <c r="J33" i="3" s="1"/>
  <c r="J29" i="6" s="1"/>
  <c r="N71" i="4"/>
  <c r="M76"/>
  <c r="M77" s="1"/>
  <c r="M10"/>
  <c r="M12" s="1"/>
  <c r="K15" l="1"/>
  <c r="K14" i="9"/>
  <c r="J24" i="6"/>
  <c r="L80" i="4"/>
  <c r="L14" s="1"/>
  <c r="L7" i="7" s="1"/>
  <c r="L6" i="8"/>
  <c r="L7" s="1"/>
  <c r="L6" i="9"/>
  <c r="L7" s="1"/>
  <c r="L11" s="1"/>
  <c r="L92" i="4"/>
  <c r="L46" s="1"/>
  <c r="L83"/>
  <c r="L18" s="1"/>
  <c r="L86"/>
  <c r="L19" s="1"/>
  <c r="L89"/>
  <c r="L20" s="1"/>
  <c r="L6" i="7"/>
  <c r="N11" i="4"/>
  <c r="O73"/>
  <c r="O11" s="1"/>
  <c r="K26" i="7"/>
  <c r="K10" s="1"/>
  <c r="K29"/>
  <c r="K11" s="1"/>
  <c r="K13" i="3" s="1"/>
  <c r="K33" i="7"/>
  <c r="K14" s="1"/>
  <c r="K36"/>
  <c r="K15" s="1"/>
  <c r="K31" i="3" s="1"/>
  <c r="K27" i="6" s="1"/>
  <c r="K39" i="7"/>
  <c r="K16" s="1"/>
  <c r="K32" i="3" s="1"/>
  <c r="K28" i="6" s="1"/>
  <c r="K42" i="7"/>
  <c r="K17" s="1"/>
  <c r="K33" i="3" s="1"/>
  <c r="K29" i="6" s="1"/>
  <c r="K40"/>
  <c r="K29" i="8"/>
  <c r="K28"/>
  <c r="K31"/>
  <c r="K30"/>
  <c r="K11"/>
  <c r="M6"/>
  <c r="M7" s="1"/>
  <c r="M6" i="9"/>
  <c r="M7" s="1"/>
  <c r="M11" s="1"/>
  <c r="M80" i="4"/>
  <c r="M14" s="1"/>
  <c r="M7" i="7" s="1"/>
  <c r="M83" i="4"/>
  <c r="M18" s="1"/>
  <c r="M86"/>
  <c r="M19" s="1"/>
  <c r="M89"/>
  <c r="M20" s="1"/>
  <c r="M6" i="7"/>
  <c r="M92" i="4"/>
  <c r="M46" s="1"/>
  <c r="N10"/>
  <c r="N12" s="1"/>
  <c r="O71"/>
  <c r="N76"/>
  <c r="N77" s="1"/>
  <c r="J18" i="7"/>
  <c r="J30" i="3"/>
  <c r="J26" i="6" s="1"/>
  <c r="J12" i="27"/>
  <c r="J47" i="6"/>
  <c r="J12" i="7"/>
  <c r="J20" s="1"/>
  <c r="J11" i="3"/>
  <c r="K21"/>
  <c r="L10" i="9"/>
  <c r="L14" s="1"/>
  <c r="J7" i="27"/>
  <c r="J10" s="1"/>
  <c r="J45" i="4"/>
  <c r="K24"/>
  <c r="K27" s="1"/>
  <c r="M15" l="1"/>
  <c r="N80"/>
  <c r="N14" s="1"/>
  <c r="N7" i="7" s="1"/>
  <c r="N6" i="8"/>
  <c r="N7" s="1"/>
  <c r="N6" i="9"/>
  <c r="N7" s="1"/>
  <c r="N11" s="1"/>
  <c r="N92" i="4"/>
  <c r="N46" s="1"/>
  <c r="N83"/>
  <c r="N18" s="1"/>
  <c r="N86"/>
  <c r="N19" s="1"/>
  <c r="N89"/>
  <c r="N20" s="1"/>
  <c r="N6" i="7"/>
  <c r="M26"/>
  <c r="M10" s="1"/>
  <c r="M29"/>
  <c r="M11" s="1"/>
  <c r="M13" i="3" s="1"/>
  <c r="L26" i="7"/>
  <c r="L10" s="1"/>
  <c r="L29"/>
  <c r="L11" s="1"/>
  <c r="L13" i="3" s="1"/>
  <c r="M24" i="6" s="1"/>
  <c r="L40"/>
  <c r="L28" i="8"/>
  <c r="L31"/>
  <c r="L30"/>
  <c r="L11"/>
  <c r="L29"/>
  <c r="L33" i="7"/>
  <c r="L14" s="1"/>
  <c r="L36"/>
  <c r="L15" s="1"/>
  <c r="L31" i="3" s="1"/>
  <c r="L27" i="6" s="1"/>
  <c r="L39" i="7"/>
  <c r="L16" s="1"/>
  <c r="L32" i="3" s="1"/>
  <c r="L28" i="6" s="1"/>
  <c r="L42" i="7"/>
  <c r="L17" s="1"/>
  <c r="L33" i="3" s="1"/>
  <c r="L29" i="6" s="1"/>
  <c r="K24"/>
  <c r="K7" i="27"/>
  <c r="K10" s="1"/>
  <c r="K45" i="4"/>
  <c r="M10" i="9"/>
  <c r="M14" s="1"/>
  <c r="L21" i="3"/>
  <c r="J23" i="6"/>
  <c r="J22" i="7"/>
  <c r="J13" i="27" s="1"/>
  <c r="O10" i="4"/>
  <c r="O12" s="1"/>
  <c r="O76"/>
  <c r="O77" s="1"/>
  <c r="M33" i="7"/>
  <c r="M14" s="1"/>
  <c r="M36"/>
  <c r="M15" s="1"/>
  <c r="M31" i="3" s="1"/>
  <c r="M27" i="6" s="1"/>
  <c r="M39" i="7"/>
  <c r="M16" s="1"/>
  <c r="M32" i="3" s="1"/>
  <c r="M28" i="6" s="1"/>
  <c r="M42" i="7"/>
  <c r="M17" s="1"/>
  <c r="M33" i="3" s="1"/>
  <c r="M29" i="6" s="1"/>
  <c r="M40"/>
  <c r="M28" i="8"/>
  <c r="M31"/>
  <c r="M29"/>
  <c r="M11"/>
  <c r="M30"/>
  <c r="K12" i="27"/>
  <c r="K47" i="6"/>
  <c r="K18" i="7"/>
  <c r="K30" i="3"/>
  <c r="K26" i="6" s="1"/>
  <c r="K12" i="7"/>
  <c r="K11" i="3"/>
  <c r="M24" i="4"/>
  <c r="M27" s="1"/>
  <c r="L24"/>
  <c r="L15"/>
  <c r="N15" l="1"/>
  <c r="L27"/>
  <c r="L7" i="27" s="1"/>
  <c r="L10" s="1"/>
  <c r="K20" i="7"/>
  <c r="L24" i="6"/>
  <c r="M7" i="27"/>
  <c r="M10" s="1"/>
  <c r="M45" i="4"/>
  <c r="L45"/>
  <c r="L18" i="7"/>
  <c r="L30" i="3"/>
  <c r="L26" i="6" s="1"/>
  <c r="L47"/>
  <c r="L12" i="27"/>
  <c r="L11" i="3"/>
  <c r="L12" i="7"/>
  <c r="L20" s="1"/>
  <c r="M12"/>
  <c r="M11" i="3"/>
  <c r="L23" i="6"/>
  <c r="N24" i="4"/>
  <c r="N27" s="1"/>
  <c r="M12" i="27"/>
  <c r="M47" i="6"/>
  <c r="M18" i="7"/>
  <c r="M30" i="3"/>
  <c r="M26" i="6" s="1"/>
  <c r="O6" i="8"/>
  <c r="O7" s="1"/>
  <c r="O6" i="9"/>
  <c r="O7" s="1"/>
  <c r="O11" s="1"/>
  <c r="O80" i="4"/>
  <c r="O14" s="1"/>
  <c r="O7" i="7" s="1"/>
  <c r="O6"/>
  <c r="O92" i="4"/>
  <c r="O46" s="1"/>
  <c r="O83"/>
  <c r="O18" s="1"/>
  <c r="O86"/>
  <c r="O19" s="1"/>
  <c r="O89"/>
  <c r="O20" s="1"/>
  <c r="M21" i="3"/>
  <c r="N10" i="9"/>
  <c r="N14" s="1"/>
  <c r="N26" i="7"/>
  <c r="N10" s="1"/>
  <c r="N29"/>
  <c r="N11" s="1"/>
  <c r="N13" i="3" s="1"/>
  <c r="N40" i="6"/>
  <c r="N28" i="8"/>
  <c r="N11"/>
  <c r="N30"/>
  <c r="N31"/>
  <c r="N29"/>
  <c r="N33" i="7"/>
  <c r="N14" s="1"/>
  <c r="N36"/>
  <c r="N15" s="1"/>
  <c r="N31" i="3" s="1"/>
  <c r="N27" i="6" s="1"/>
  <c r="N39" i="7"/>
  <c r="N16" s="1"/>
  <c r="N32" i="3" s="1"/>
  <c r="N28" i="6" s="1"/>
  <c r="N42" i="7"/>
  <c r="N17" s="1"/>
  <c r="N33" i="3" s="1"/>
  <c r="N29" i="6" s="1"/>
  <c r="L22" i="7"/>
  <c r="L13" i="27" s="1"/>
  <c r="K22" i="7"/>
  <c r="K13" i="27" s="1"/>
  <c r="K23" i="6"/>
  <c r="N24"/>
  <c r="O15" i="4" l="1"/>
  <c r="M23" i="6"/>
  <c r="N21" i="3"/>
  <c r="O10" i="9"/>
  <c r="O14" s="1"/>
  <c r="O21" i="3" s="1"/>
  <c r="N7" i="27"/>
  <c r="N10" s="1"/>
  <c r="N45" i="4"/>
  <c r="M20" i="7"/>
  <c r="N18"/>
  <c r="N30" i="3"/>
  <c r="N26" i="6" s="1"/>
  <c r="N12" i="27"/>
  <c r="N47" i="6"/>
  <c r="N12" i="7"/>
  <c r="N20" s="1"/>
  <c r="N11" i="3"/>
  <c r="O26" i="7"/>
  <c r="O10" s="1"/>
  <c r="O29"/>
  <c r="O11" s="1"/>
  <c r="O13" i="3" s="1"/>
  <c r="O24" i="6" s="1"/>
  <c r="O33" i="7"/>
  <c r="O14" s="1"/>
  <c r="O36"/>
  <c r="O15" s="1"/>
  <c r="O31" i="3" s="1"/>
  <c r="O27" i="6" s="1"/>
  <c r="O39" i="7"/>
  <c r="O16" s="1"/>
  <c r="O32" i="3" s="1"/>
  <c r="O28" i="6" s="1"/>
  <c r="O42" i="7"/>
  <c r="O17" s="1"/>
  <c r="O33" i="3" s="1"/>
  <c r="O29" i="6" s="1"/>
  <c r="O40"/>
  <c r="O11" i="8"/>
  <c r="O31"/>
  <c r="O28"/>
  <c r="C41" s="1" a="1"/>
  <c r="O29"/>
  <c r="C58" s="1" a="1"/>
  <c r="O30"/>
  <c r="C75" s="1" a="1"/>
  <c r="O24" i="4"/>
  <c r="O27" s="1"/>
  <c r="N23" i="6"/>
  <c r="M22" i="7"/>
  <c r="M13" i="27" s="1"/>
  <c r="O7" l="1"/>
  <c r="O10" s="1"/>
  <c r="O45" i="4"/>
  <c r="C75" i="8"/>
  <c r="C76"/>
  <c r="C77"/>
  <c r="C78"/>
  <c r="C79"/>
  <c r="C80"/>
  <c r="C81"/>
  <c r="C82"/>
  <c r="O82" s="1"/>
  <c r="C41"/>
  <c r="C42"/>
  <c r="C43"/>
  <c r="C44"/>
  <c r="C45"/>
  <c r="C46"/>
  <c r="C47"/>
  <c r="C48"/>
  <c r="O48" s="1"/>
  <c r="N22" i="7"/>
  <c r="N13" i="27" s="1"/>
  <c r="C58" i="8"/>
  <c r="C59"/>
  <c r="C60"/>
  <c r="C61"/>
  <c r="C62"/>
  <c r="C63"/>
  <c r="C64"/>
  <c r="C65"/>
  <c r="O65" s="1"/>
  <c r="O12" i="27"/>
  <c r="O47" i="6"/>
  <c r="O18" i="7"/>
  <c r="O30" i="3"/>
  <c r="O26" i="6" s="1"/>
  <c r="O11" i="3"/>
  <c r="O23" i="6" s="1"/>
  <c r="O12" i="7"/>
  <c r="O20" l="1"/>
  <c r="O22" s="1"/>
  <c r="O13" i="27" s="1"/>
  <c r="N63" i="8"/>
  <c r="O63"/>
  <c r="M63"/>
  <c r="N61"/>
  <c r="L61"/>
  <c r="O61"/>
  <c r="M61"/>
  <c r="K61"/>
  <c r="I59"/>
  <c r="N59"/>
  <c r="L59"/>
  <c r="J59"/>
  <c r="O59"/>
  <c r="M59"/>
  <c r="K59"/>
  <c r="M46"/>
  <c r="N46"/>
  <c r="O46"/>
  <c r="M44"/>
  <c r="N44"/>
  <c r="O44"/>
  <c r="K44"/>
  <c r="L44"/>
  <c r="M42"/>
  <c r="I42"/>
  <c r="N42"/>
  <c r="K42"/>
  <c r="L42"/>
  <c r="J42"/>
  <c r="O42"/>
  <c r="M80"/>
  <c r="N80"/>
  <c r="O80"/>
  <c r="M78"/>
  <c r="N78"/>
  <c r="K78"/>
  <c r="L78"/>
  <c r="O78"/>
  <c r="M76"/>
  <c r="I76"/>
  <c r="N76"/>
  <c r="O76"/>
  <c r="K76"/>
  <c r="L76"/>
  <c r="J76"/>
  <c r="N64"/>
  <c r="O64"/>
  <c r="M62"/>
  <c r="N62"/>
  <c r="L62"/>
  <c r="O62"/>
  <c r="K60"/>
  <c r="M60"/>
  <c r="N60"/>
  <c r="L60"/>
  <c r="J60"/>
  <c r="O60"/>
  <c r="K58"/>
  <c r="N58"/>
  <c r="J58"/>
  <c r="J67" s="1"/>
  <c r="H58"/>
  <c r="H67" s="1"/>
  <c r="L58"/>
  <c r="M58"/>
  <c r="M67" s="1"/>
  <c r="O58"/>
  <c r="I58"/>
  <c r="I67" s="1"/>
  <c r="N47"/>
  <c r="O47"/>
  <c r="M45"/>
  <c r="L45"/>
  <c r="O45"/>
  <c r="N45"/>
  <c r="M43"/>
  <c r="K43"/>
  <c r="L43"/>
  <c r="J43"/>
  <c r="O43"/>
  <c r="N43"/>
  <c r="M41"/>
  <c r="L41"/>
  <c r="J41"/>
  <c r="I41"/>
  <c r="I50" s="1"/>
  <c r="H41"/>
  <c r="H50" s="1"/>
  <c r="N41"/>
  <c r="N50" s="1"/>
  <c r="K41"/>
  <c r="O41"/>
  <c r="N81"/>
  <c r="O81"/>
  <c r="M79"/>
  <c r="L79"/>
  <c r="O79"/>
  <c r="N79"/>
  <c r="M77"/>
  <c r="K77"/>
  <c r="L77"/>
  <c r="J77"/>
  <c r="N77"/>
  <c r="O77"/>
  <c r="O75"/>
  <c r="M75"/>
  <c r="L75"/>
  <c r="L84" s="1"/>
  <c r="H75"/>
  <c r="H84" s="1"/>
  <c r="H86" s="1"/>
  <c r="H12" s="1"/>
  <c r="I75"/>
  <c r="I84" s="1"/>
  <c r="I86" s="1"/>
  <c r="I12" s="1"/>
  <c r="I12" i="6" s="1"/>
  <c r="I47" i="4" s="1"/>
  <c r="I48" s="1"/>
  <c r="N75" i="8"/>
  <c r="N84" s="1"/>
  <c r="K75"/>
  <c r="J75"/>
  <c r="O84" l="1"/>
  <c r="M50"/>
  <c r="L67"/>
  <c r="K67"/>
  <c r="O50"/>
  <c r="J84"/>
  <c r="J86" s="1"/>
  <c r="J12" s="1"/>
  <c r="J12" i="6" s="1"/>
  <c r="J47" i="4" s="1"/>
  <c r="J48" s="1"/>
  <c r="K84" i="8"/>
  <c r="K50"/>
  <c r="J50"/>
  <c r="O67"/>
  <c r="I11" i="27"/>
  <c r="I14" s="1"/>
  <c r="I22" s="1"/>
  <c r="H14" i="8"/>
  <c r="H12" i="6"/>
  <c r="H47" i="4" s="1"/>
  <c r="H48" s="1"/>
  <c r="M84" i="8"/>
  <c r="M86" s="1"/>
  <c r="M12" s="1"/>
  <c r="M12" i="6" s="1"/>
  <c r="M47" i="4" s="1"/>
  <c r="M48" s="1"/>
  <c r="L50" i="8"/>
  <c r="L86" s="1"/>
  <c r="L12" s="1"/>
  <c r="L12" i="6" s="1"/>
  <c r="L47" i="4" s="1"/>
  <c r="L48" s="1"/>
  <c r="N67" i="8"/>
  <c r="N86" s="1"/>
  <c r="N12" s="1"/>
  <c r="N12" i="6" s="1"/>
  <c r="N47" i="4" s="1"/>
  <c r="N48" s="1"/>
  <c r="J11" i="27" l="1"/>
  <c r="J14" s="1"/>
  <c r="J22" s="1"/>
  <c r="K86" i="8"/>
  <c r="K12" s="1"/>
  <c r="K12" i="6" s="1"/>
  <c r="O86" i="8"/>
  <c r="O12" s="1"/>
  <c r="O12" i="6" s="1"/>
  <c r="N11" i="27"/>
  <c r="N14" s="1"/>
  <c r="N22" s="1"/>
  <c r="I10" i="8"/>
  <c r="I14" s="1"/>
  <c r="H19" i="3"/>
  <c r="L11" i="27"/>
  <c r="L14" s="1"/>
  <c r="L22" s="1"/>
  <c r="M11"/>
  <c r="M14" s="1"/>
  <c r="M22" s="1"/>
  <c r="H11"/>
  <c r="H14" s="1"/>
  <c r="H22" s="1"/>
  <c r="O11" l="1"/>
  <c r="O14" s="1"/>
  <c r="O47" i="4"/>
  <c r="O48" s="1"/>
  <c r="K47"/>
  <c r="K48" s="1"/>
  <c r="K11" i="27"/>
  <c r="K14" s="1"/>
  <c r="K22" s="1"/>
  <c r="J10" i="8"/>
  <c r="J14" s="1"/>
  <c r="I19" i="3"/>
  <c r="O27" i="27" l="1"/>
  <c r="C28" s="1"/>
  <c r="C34" s="1"/>
  <c r="D34" s="1"/>
  <c r="O22"/>
  <c r="C23" s="1"/>
  <c r="C33" s="1"/>
  <c r="D33" s="1"/>
  <c r="K10" i="8"/>
  <c r="K14" s="1"/>
  <c r="J19" i="3"/>
  <c r="C35" i="27" l="1"/>
  <c r="K19" i="3"/>
  <c r="L10" i="8"/>
  <c r="L14" s="1"/>
  <c r="D35" i="27" l="1"/>
  <c r="C38"/>
  <c r="D38" s="1"/>
  <c r="L19" i="3"/>
  <c r="M10" i="8"/>
  <c r="M14" s="1"/>
  <c r="N10" l="1"/>
  <c r="N14" s="1"/>
  <c r="M19" i="3"/>
  <c r="O10" i="8" l="1"/>
  <c r="O14" s="1"/>
  <c r="O19" i="3" s="1"/>
  <c r="N19"/>
  <c r="H8"/>
  <c r="I8"/>
  <c r="J8"/>
  <c r="K8"/>
  <c r="L8"/>
  <c r="M8"/>
  <c r="N8"/>
  <c r="O8"/>
  <c r="H14"/>
  <c r="I14"/>
  <c r="J14"/>
  <c r="K14"/>
  <c r="L14"/>
  <c r="M14"/>
  <c r="N14"/>
  <c r="O14"/>
  <c r="H23"/>
  <c r="I23"/>
  <c r="J23"/>
  <c r="K23"/>
  <c r="L23"/>
  <c r="M23"/>
  <c r="N23"/>
  <c r="O23"/>
  <c r="I27"/>
  <c r="J27"/>
  <c r="K27"/>
  <c r="L27"/>
  <c r="M27"/>
  <c r="N27"/>
  <c r="O27"/>
  <c r="I34"/>
  <c r="J34"/>
  <c r="K34"/>
  <c r="L34"/>
  <c r="M34"/>
  <c r="N34"/>
  <c r="O34"/>
  <c r="I42"/>
  <c r="J42"/>
  <c r="K42"/>
  <c r="L42"/>
  <c r="M42"/>
  <c r="N42"/>
  <c r="O42"/>
  <c r="H59"/>
  <c r="I59"/>
  <c r="J59"/>
  <c r="K59"/>
  <c r="L59"/>
  <c r="M59"/>
  <c r="N59"/>
  <c r="O59"/>
  <c r="H60"/>
  <c r="I60"/>
  <c r="J60"/>
  <c r="K60"/>
  <c r="L60"/>
  <c r="M60"/>
  <c r="N60"/>
  <c r="O60"/>
  <c r="H62"/>
  <c r="I62"/>
  <c r="J62"/>
  <c r="K62"/>
  <c r="L62"/>
  <c r="M62"/>
  <c r="N62"/>
  <c r="O62"/>
  <c r="H6" i="6"/>
  <c r="I6"/>
  <c r="J6"/>
  <c r="K6"/>
  <c r="L6"/>
  <c r="M6"/>
  <c r="N6"/>
  <c r="O6"/>
  <c r="H30"/>
  <c r="I30"/>
  <c r="J30"/>
  <c r="K30"/>
  <c r="L30"/>
  <c r="M30"/>
  <c r="N30"/>
  <c r="O30"/>
  <c r="H49"/>
  <c r="I49"/>
  <c r="J49"/>
  <c r="K49"/>
  <c r="L49"/>
  <c r="M49"/>
  <c r="N49"/>
  <c r="O49"/>
  <c r="I65"/>
  <c r="J65"/>
  <c r="K65"/>
  <c r="L65"/>
  <c r="I68"/>
  <c r="J68"/>
  <c r="K68"/>
  <c r="L68"/>
  <c r="H71"/>
  <c r="I71"/>
  <c r="J71"/>
  <c r="K71"/>
  <c r="L71"/>
  <c r="M71"/>
  <c r="N71"/>
  <c r="O71"/>
  <c r="I73"/>
  <c r="J73"/>
  <c r="K73"/>
  <c r="L73"/>
  <c r="M73"/>
  <c r="N73"/>
  <c r="O73"/>
  <c r="H74"/>
  <c r="I74"/>
  <c r="J74"/>
  <c r="K74"/>
  <c r="L74"/>
  <c r="M74"/>
  <c r="N74"/>
  <c r="O74"/>
  <c r="C42" i="27"/>
  <c r="D42"/>
  <c r="C43"/>
  <c r="D43"/>
  <c r="C45"/>
  <c r="D45"/>
  <c r="D49"/>
  <c r="H6" i="23"/>
  <c r="I6"/>
  <c r="J6"/>
  <c r="K6"/>
  <c r="L6"/>
  <c r="M6"/>
  <c r="N6"/>
  <c r="O6"/>
  <c r="I8"/>
  <c r="J8"/>
  <c r="K8"/>
  <c r="L8"/>
  <c r="M8"/>
  <c r="N8"/>
  <c r="O8"/>
  <c r="I10"/>
  <c r="J10"/>
  <c r="K10"/>
  <c r="L10"/>
  <c r="M10"/>
  <c r="N10"/>
  <c r="O10"/>
  <c r="I13"/>
  <c r="J13"/>
  <c r="K13"/>
  <c r="L13"/>
  <c r="M13"/>
  <c r="N13"/>
  <c r="O13"/>
  <c r="J16"/>
  <c r="K16"/>
  <c r="L16"/>
  <c r="M16"/>
  <c r="N16"/>
  <c r="O16"/>
  <c r="I17"/>
  <c r="J17"/>
  <c r="K17"/>
  <c r="L17"/>
  <c r="M17"/>
  <c r="N17"/>
  <c r="O17"/>
  <c r="I18"/>
  <c r="J18"/>
  <c r="K18"/>
  <c r="L18"/>
  <c r="M18"/>
  <c r="N18"/>
  <c r="O18"/>
  <c r="I28"/>
  <c r="J28"/>
  <c r="K28"/>
  <c r="L28"/>
  <c r="M28"/>
  <c r="N28"/>
  <c r="O28"/>
  <c r="I30"/>
  <c r="J30"/>
  <c r="K30"/>
  <c r="L30"/>
  <c r="M30"/>
  <c r="N30"/>
  <c r="O30"/>
  <c r="I36"/>
  <c r="J36"/>
  <c r="K36"/>
  <c r="L36"/>
  <c r="M36"/>
  <c r="N36"/>
  <c r="O36"/>
  <c r="H41"/>
  <c r="I41"/>
  <c r="J41"/>
  <c r="K41"/>
  <c r="L41"/>
  <c r="M41"/>
  <c r="N41"/>
  <c r="O41"/>
  <c r="H42"/>
  <c r="I42"/>
  <c r="J42"/>
  <c r="K42"/>
  <c r="L42"/>
  <c r="M42"/>
  <c r="N42"/>
  <c r="O42"/>
  <c r="H44"/>
  <c r="I44"/>
  <c r="J44"/>
  <c r="K44"/>
  <c r="L44"/>
  <c r="M44"/>
  <c r="N44"/>
  <c r="O44"/>
  <c r="H29" i="4"/>
  <c r="I29"/>
  <c r="J29"/>
  <c r="K29"/>
  <c r="L29"/>
  <c r="M29"/>
  <c r="N29"/>
  <c r="O29"/>
  <c r="I30"/>
  <c r="J30"/>
  <c r="K30"/>
  <c r="L30"/>
  <c r="M30"/>
  <c r="N30"/>
  <c r="O30"/>
  <c r="H33"/>
  <c r="I33"/>
  <c r="J33"/>
  <c r="K33"/>
  <c r="L33"/>
  <c r="M33"/>
  <c r="N33"/>
  <c r="O33"/>
  <c r="H34"/>
  <c r="I34"/>
  <c r="J34"/>
  <c r="K34"/>
  <c r="L34"/>
  <c r="M34"/>
  <c r="N34"/>
  <c r="O34"/>
  <c r="H36"/>
  <c r="I36"/>
  <c r="J36"/>
  <c r="K36"/>
  <c r="L36"/>
  <c r="M36"/>
  <c r="N36"/>
  <c r="O36"/>
  <c r="H38"/>
  <c r="I38"/>
  <c r="J38"/>
  <c r="K38"/>
  <c r="L38"/>
  <c r="M38"/>
  <c r="N38"/>
  <c r="O38"/>
  <c r="H42"/>
  <c r="I42"/>
  <c r="J42"/>
  <c r="K42"/>
  <c r="L42"/>
  <c r="M42"/>
  <c r="N42"/>
  <c r="O42"/>
  <c r="B20" i="30"/>
  <c r="B31"/>
  <c r="B32"/>
  <c r="B34"/>
  <c r="B35"/>
  <c r="B37"/>
  <c r="B39"/>
  <c r="I6" i="10"/>
  <c r="J6"/>
  <c r="K6"/>
  <c r="L6"/>
  <c r="M6"/>
  <c r="N6"/>
  <c r="O6"/>
  <c r="H7"/>
  <c r="I7"/>
  <c r="J7"/>
  <c r="K7"/>
  <c r="L7"/>
  <c r="M7"/>
  <c r="N7"/>
  <c r="O7"/>
  <c r="H9"/>
  <c r="I9"/>
  <c r="J9"/>
  <c r="K9"/>
  <c r="L9"/>
  <c r="M9"/>
  <c r="N9"/>
  <c r="O9"/>
</calcChain>
</file>

<file path=xl/comments1.xml><?xml version="1.0" encoding="utf-8"?>
<comments xmlns="http://schemas.openxmlformats.org/spreadsheetml/2006/main">
  <authors>
    <author>rise</author>
  </authors>
  <commentList>
    <comment ref="G5" authorId="0">
      <text>
        <r>
          <rPr>
            <b/>
            <sz val="8"/>
            <color indexed="81"/>
            <rFont val="Tahoma"/>
            <family val="2"/>
          </rPr>
          <t>Dheeraj - March'14 Quarter estimates are added to 9 months ending December'13 numbers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G8" authorId="0">
      <text>
        <r>
          <rPr>
            <b/>
            <sz val="8"/>
            <color indexed="81"/>
            <rFont val="Tahoma"/>
            <family val="2"/>
          </rPr>
          <t>Dheeraj - March'14 Quarter estimates are added to 9 months ending December'13 numbers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G9" authorId="0">
      <text>
        <r>
          <rPr>
            <b/>
            <sz val="8"/>
            <color indexed="81"/>
            <rFont val="Tahoma"/>
            <family val="2"/>
          </rPr>
          <t>Dheeraj - March'14 Quarter estimates are added to 9 months ending December'13 numbers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G10" authorId="0">
      <text>
        <r>
          <rPr>
            <b/>
            <sz val="8"/>
            <color indexed="81"/>
            <rFont val="Tahoma"/>
            <family val="2"/>
          </rPr>
          <t>Dheeraj - March'14 Quarter estimates are added to 9 months ending December'13 numbers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G11" authorId="0">
      <text>
        <r>
          <rPr>
            <b/>
            <sz val="8"/>
            <color indexed="81"/>
            <rFont val="Tahoma"/>
            <family val="2"/>
          </rPr>
          <t>Dheeraj - March'14 Quarter estimates are added to 9 months ending December'13 numbers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G14" authorId="0">
      <text>
        <r>
          <rPr>
            <b/>
            <sz val="8"/>
            <color indexed="81"/>
            <rFont val="Tahoma"/>
            <family val="2"/>
          </rPr>
          <t>Dheeraj - March'14 Quarter estimates are added to 9 months ending December'13 numbers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G18" authorId="0">
      <text>
        <r>
          <rPr>
            <b/>
            <sz val="8"/>
            <color indexed="81"/>
            <rFont val="Tahoma"/>
            <family val="2"/>
          </rPr>
          <t>Dheeraj - March'14 Quarter estimates are added to 9 months ending December'13 numbers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G19" authorId="0">
      <text>
        <r>
          <rPr>
            <b/>
            <sz val="8"/>
            <color indexed="81"/>
            <rFont val="Tahoma"/>
            <family val="2"/>
          </rPr>
          <t>Dheeraj - March'14 Quarter estimates are added to 9 months ending December'13 numbers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G20" authorId="0">
      <text>
        <r>
          <rPr>
            <b/>
            <sz val="8"/>
            <color indexed="81"/>
            <rFont val="Tahoma"/>
            <family val="2"/>
          </rPr>
          <t>Dheeraj - March'14 Quarter estimates are added to 9 months ending December'13 numbers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G56" authorId="0">
      <text>
        <r>
          <rPr>
            <b/>
            <sz val="8"/>
            <color indexed="81"/>
            <rFont val="Tahoma"/>
            <family val="2"/>
          </rPr>
          <t xml:space="preserve">Dheeraj: </t>
        </r>
        <r>
          <rPr>
            <sz val="8"/>
            <color indexed="81"/>
            <rFont val="Tahoma"/>
            <family val="2"/>
          </rPr>
          <t>proportionately adjusted for estimated March'2014 quarter</t>
        </r>
      </text>
    </comment>
    <comment ref="G58" authorId="0">
      <text>
        <r>
          <rPr>
            <b/>
            <sz val="8"/>
            <color indexed="81"/>
            <rFont val="Tahoma"/>
            <family val="2"/>
          </rPr>
          <t xml:space="preserve">Dheeraj: </t>
        </r>
        <r>
          <rPr>
            <sz val="8"/>
            <color indexed="81"/>
            <rFont val="Tahoma"/>
            <family val="2"/>
          </rPr>
          <t>proportionately adjusted for estimated March'2014 quarter</t>
        </r>
      </text>
    </comment>
    <comment ref="G64" authorId="0">
      <text>
        <r>
          <rPr>
            <b/>
            <sz val="8"/>
            <color indexed="81"/>
            <rFont val="Tahoma"/>
            <family val="2"/>
          </rPr>
          <t xml:space="preserve">Dheeraj: </t>
        </r>
        <r>
          <rPr>
            <sz val="8"/>
            <color indexed="81"/>
            <rFont val="Tahoma"/>
            <family val="2"/>
          </rPr>
          <t>proportionately adjusted for estimated March'2014 quarter</t>
        </r>
      </text>
    </comment>
    <comment ref="G66" authorId="0">
      <text>
        <r>
          <rPr>
            <b/>
            <sz val="8"/>
            <color indexed="81"/>
            <rFont val="Tahoma"/>
            <family val="2"/>
          </rPr>
          <t xml:space="preserve">Dheeraj: </t>
        </r>
        <r>
          <rPr>
            <sz val="8"/>
            <color indexed="81"/>
            <rFont val="Tahoma"/>
            <family val="2"/>
          </rPr>
          <t>proportionately adjusted for estimated March'2014 quarter</t>
        </r>
      </text>
    </comment>
  </commentList>
</comments>
</file>

<file path=xl/comments2.xml><?xml version="1.0" encoding="utf-8"?>
<comments xmlns="http://schemas.openxmlformats.org/spreadsheetml/2006/main">
  <authors>
    <author>rise</author>
  </authors>
  <commentList>
    <comment ref="G8" authorId="0">
      <text>
        <r>
          <rPr>
            <b/>
            <sz val="8"/>
            <color indexed="81"/>
            <rFont val="Tahoma"/>
            <family val="2"/>
          </rPr>
          <t xml:space="preserve">Dheeraj - </t>
        </r>
        <r>
          <rPr>
            <sz val="8"/>
            <color indexed="81"/>
            <rFont val="Tahoma"/>
            <family val="2"/>
          </rPr>
          <t>March'14 estimated cash impact of 6,836 is added here</t>
        </r>
      </text>
    </comment>
    <comment ref="G59" authorId="0">
      <text>
        <r>
          <rPr>
            <b/>
            <sz val="8"/>
            <color indexed="81"/>
            <rFont val="Tahoma"/>
            <family val="2"/>
          </rPr>
          <t xml:space="preserve">Dheeraj - </t>
        </r>
        <r>
          <rPr>
            <sz val="8"/>
            <color indexed="81"/>
            <rFont val="Tahoma"/>
            <family val="2"/>
          </rPr>
          <t>March'14 Net Income of 6,836 is added here</t>
        </r>
      </text>
    </comment>
  </commentList>
</comments>
</file>

<file path=xl/comments3.xml><?xml version="1.0" encoding="utf-8"?>
<comments xmlns="http://schemas.openxmlformats.org/spreadsheetml/2006/main">
  <authors>
    <author>rise</author>
  </authors>
  <commentList>
    <comment ref="G6" authorId="0">
      <text>
        <r>
          <rPr>
            <b/>
            <sz val="8"/>
            <color indexed="81"/>
            <rFont val="Tahoma"/>
            <family val="2"/>
          </rPr>
          <t xml:space="preserve">Dheeraj - </t>
        </r>
        <r>
          <rPr>
            <sz val="8"/>
            <color indexed="81"/>
            <rFont val="Tahoma"/>
            <family val="2"/>
          </rPr>
          <t>March'14 Net Income of 6,836 is added here</t>
        </r>
      </text>
    </comment>
    <comment ref="H14" authorId="0">
      <text>
        <r>
          <rPr>
            <b/>
            <sz val="8"/>
            <color indexed="81"/>
            <rFont val="Tahoma"/>
            <family val="2"/>
          </rPr>
          <t>Dheeraj:</t>
        </r>
        <r>
          <rPr>
            <sz val="8"/>
            <color indexed="81"/>
            <rFont val="Tahoma"/>
            <family val="2"/>
          </rPr>
          <t xml:space="preserve"> please note I have not adjusted for share based compensation expense. However, this non cash item can be included here and appropriately costs could be adjusted in the IS</t>
        </r>
      </text>
    </comment>
  </commentList>
</comments>
</file>

<file path=xl/comments4.xml><?xml version="1.0" encoding="utf-8"?>
<comments xmlns="http://schemas.openxmlformats.org/spreadsheetml/2006/main">
  <authors>
    <author>rise</author>
  </authors>
  <commentList>
    <comment ref="F17" authorId="0">
      <text>
        <r>
          <rPr>
            <b/>
            <sz val="8"/>
            <color indexed="81"/>
            <rFont val="Tahoma"/>
            <family val="2"/>
          </rPr>
          <t>Dheeraj:</t>
        </r>
        <r>
          <rPr>
            <sz val="8"/>
            <color indexed="81"/>
            <rFont val="Tahoma"/>
            <family val="2"/>
          </rPr>
          <t xml:space="preserve">
as of dec'2013</t>
        </r>
      </text>
    </comment>
  </commentList>
</comments>
</file>

<file path=xl/comments5.xml><?xml version="1.0" encoding="utf-8"?>
<comments xmlns="http://schemas.openxmlformats.org/spreadsheetml/2006/main">
  <authors>
    <author>DheerajV</author>
  </authors>
  <commentList>
    <comment ref="D39" authorId="0">
      <text>
        <r>
          <rPr>
            <b/>
            <sz val="9"/>
            <color indexed="81"/>
            <rFont val="Tahoma"/>
            <charset val="1"/>
          </rPr>
          <t>DheerajV:</t>
        </r>
        <r>
          <rPr>
            <sz val="9"/>
            <color indexed="81"/>
            <rFont val="Tahoma"/>
            <charset val="1"/>
          </rPr>
          <t xml:space="preserve">
BS Figures taken directly. No adjustments done here</t>
        </r>
      </text>
    </comment>
    <comment ref="C40" authorId="0">
      <text>
        <r>
          <rPr>
            <b/>
            <sz val="9"/>
            <color indexed="81"/>
            <rFont val="Tahoma"/>
            <charset val="1"/>
          </rPr>
          <t>DheerajV:</t>
        </r>
        <r>
          <rPr>
            <sz val="9"/>
            <color indexed="81"/>
            <rFont val="Tahoma"/>
            <charset val="1"/>
          </rPr>
          <t xml:space="preserve">
not adjusted for current market prices of Weibo</t>
        </r>
      </text>
    </comment>
    <comment ref="D40" authorId="0">
      <text>
        <r>
          <rPr>
            <b/>
            <sz val="9"/>
            <color indexed="81"/>
            <rFont val="Tahoma"/>
            <charset val="1"/>
          </rPr>
          <t>DheerajV:</t>
        </r>
        <r>
          <rPr>
            <sz val="9"/>
            <color indexed="81"/>
            <rFont val="Tahoma"/>
            <charset val="1"/>
          </rPr>
          <t xml:space="preserve">
I have taken BS figures. Not adjusted for publicly traded prices for Weibo and AutoNavi</t>
        </r>
      </text>
    </comment>
    <comment ref="D41" authorId="0">
      <text>
        <r>
          <rPr>
            <b/>
            <sz val="9"/>
            <color indexed="81"/>
            <rFont val="Tahoma"/>
            <charset val="1"/>
          </rPr>
          <t>DheerajV: pg 202,</t>
        </r>
        <r>
          <rPr>
            <sz val="9"/>
            <color indexed="81"/>
            <rFont val="Tahoma"/>
            <charset val="1"/>
          </rPr>
          <t xml:space="preserve">
Upon the occurrence of certain liquidity events with respect to Alipay (which includes, subject to certain conditions, an initial public offering of Alipay, a transfer of 37.5% or more of the equity interests of Alipay or a sale of all or substantially all of the assets of Alipay), Small and Micro Financial Services Company will pay to us an amount equal to 37.5% of the equity value of Alipay achieved in such liquidity event, with a minimum payment of US$2.0 billion and a maximum payment of US$6.0 billion, subject to certain increases and additional payments if no liquidity event has occurred by the sixth anniversary of the date of the original agreement, or the liquidity event payment.</t>
        </r>
      </text>
    </comment>
  </commentList>
</comments>
</file>

<file path=xl/sharedStrings.xml><?xml version="1.0" encoding="utf-8"?>
<sst xmlns="http://schemas.openxmlformats.org/spreadsheetml/2006/main" count="521" uniqueCount="345">
  <si>
    <t>Total assets</t>
  </si>
  <si>
    <t>Total liabilities</t>
  </si>
  <si>
    <t>Net Sales</t>
  </si>
  <si>
    <t>Working Capital Balances</t>
  </si>
  <si>
    <t>Total Non Cash Current Assets</t>
  </si>
  <si>
    <t>Total Non-Debt Current Liabilities</t>
  </si>
  <si>
    <t>Net Working Capital/ (Deficit)</t>
  </si>
  <si>
    <t>(Increase)/ Decrease in Working Capital</t>
  </si>
  <si>
    <t>Ratios &amp; Assumptions</t>
  </si>
  <si>
    <t>Check</t>
  </si>
  <si>
    <t>Capital Expenditures</t>
  </si>
  <si>
    <t>Capital Expenditures as % of Net Sales</t>
  </si>
  <si>
    <t>Beginning Net PP&amp;E</t>
  </si>
  <si>
    <t>(Depreciation Expense)</t>
  </si>
  <si>
    <t>(Asset Sales )</t>
  </si>
  <si>
    <t>Ending Net PP&amp;E</t>
  </si>
  <si>
    <t>Proportion of Assets</t>
  </si>
  <si>
    <t>Straight Line Method of Depreciation</t>
  </si>
  <si>
    <t>Total</t>
  </si>
  <si>
    <t>Total Capex</t>
  </si>
  <si>
    <t>Breakup</t>
  </si>
  <si>
    <t>Useful Life</t>
  </si>
  <si>
    <t>Depreciation Expense (existing)</t>
  </si>
  <si>
    <t>Capex</t>
  </si>
  <si>
    <t>Total Depreciation Expense</t>
  </si>
  <si>
    <t>Additions to Intangibles</t>
  </si>
  <si>
    <t>Additions to Intangibles as % of Net Sales</t>
  </si>
  <si>
    <t>Beginning Net Intangibles</t>
  </si>
  <si>
    <t>(Amortization Expense)</t>
  </si>
  <si>
    <t>(Intangible Sales and write offs)</t>
  </si>
  <si>
    <t>Ending Net Intangibles</t>
  </si>
  <si>
    <t>Beginning Equity Balance</t>
  </si>
  <si>
    <t>Net Income</t>
  </si>
  <si>
    <t>Issuance/ (Repurchase) of Equity</t>
  </si>
  <si>
    <t>Ending Equity Balance</t>
  </si>
  <si>
    <t xml:space="preserve">Cost of Sales </t>
  </si>
  <si>
    <t>Consolidated Depreciation and Capex</t>
  </si>
  <si>
    <t>Consolidated Amortization &amp; Intangible</t>
  </si>
  <si>
    <t>Consolidated Shareholder's Equity</t>
  </si>
  <si>
    <t>  </t>
  </si>
  <si>
    <t>ASSETS</t>
  </si>
  <si>
    <t>Current assets:</t>
  </si>
  <si>
    <t>Cash and cash equivalents</t>
  </si>
  <si>
    <t>Total current assets</t>
  </si>
  <si>
    <t>Property and equipment, net</t>
  </si>
  <si>
    <t>Goodwill</t>
  </si>
  <si>
    <t>Current liabilities:</t>
  </si>
  <si>
    <t>Deferred revenue</t>
  </si>
  <si>
    <t>Debt</t>
  </si>
  <si>
    <t>Total current liabilities</t>
  </si>
  <si>
    <t>Additional paid-in capital</t>
  </si>
  <si>
    <t>Accumulated other comprehensive income</t>
  </si>
  <si>
    <t>Revenue</t>
  </si>
  <si>
    <t>Cost of revenue</t>
  </si>
  <si>
    <t>Gross profit</t>
  </si>
  <si>
    <t>Operating expenses:</t>
  </si>
  <si>
    <t>Total operating expenses</t>
  </si>
  <si>
    <t>Other income (expense), net</t>
  </si>
  <si>
    <t>Loss before provision (benefit) for income taxes</t>
  </si>
  <si>
    <t>Accretion of redeemable convertible preferred stock</t>
  </si>
  <si>
    <t>Net loss attributable to common stockholders</t>
  </si>
  <si>
    <t>CASH FLOWS FROM OPERATING ACTIVITIES:</t>
  </si>
  <si>
    <t>Net cash used in operating activities</t>
  </si>
  <si>
    <t>CASH FLOWS FROM INVESTING ACTIVITIES:</t>
  </si>
  <si>
    <t>Net cash provided by (used in) investing activities</t>
  </si>
  <si>
    <t>CASH FLOWS FROM FINANCING ACTIVITIES:</t>
  </si>
  <si>
    <t>Net cash provided by (used in) financing activities</t>
  </si>
  <si>
    <t>Effect of exchange rate changes on cash and cash equivalents</t>
  </si>
  <si>
    <t>Net increase (decrease) in cash and cash equivalents</t>
  </si>
  <si>
    <t>Cash and cash equivalents, beginning of period</t>
  </si>
  <si>
    <t>Cash and cash equivalents, end of period</t>
  </si>
  <si>
    <t>Construction in progress</t>
  </si>
  <si>
    <t>LIABILITIES</t>
  </si>
  <si>
    <t>Total liabilities + Shareholder's Equity</t>
  </si>
  <si>
    <t>below are gross amounts</t>
  </si>
  <si>
    <t>% sales</t>
  </si>
  <si>
    <t>% of Sales</t>
  </si>
  <si>
    <t>% of COGS</t>
  </si>
  <si>
    <t>Income Statement</t>
  </si>
  <si>
    <t>Cash Flows</t>
  </si>
  <si>
    <t>Working Capital</t>
  </si>
  <si>
    <t xml:space="preserve">Year </t>
  </si>
  <si>
    <t>Cash Flow available for Financing Activities</t>
  </si>
  <si>
    <t>Valuations</t>
  </si>
  <si>
    <t>EBITDA</t>
  </si>
  <si>
    <t>Debt Schedule</t>
  </si>
  <si>
    <t>Cash Flow Available for Financing Activities</t>
  </si>
  <si>
    <t>Proceeds from/ (Repurchase of) Equity</t>
  </si>
  <si>
    <t>+ Beginning Cash Balance</t>
  </si>
  <si>
    <t>- Minimum Cash Balance</t>
  </si>
  <si>
    <t>Cash Available for Debt Repayment</t>
  </si>
  <si>
    <t>Long Term Debt Issuance</t>
  </si>
  <si>
    <t>Long Term Debt (Repayments)</t>
  </si>
  <si>
    <t>Cash Available for Revolving Credit Facility</t>
  </si>
  <si>
    <t>Beginning Balance</t>
  </si>
  <si>
    <t>Discretionary (Paydown)/ Borrowings</t>
  </si>
  <si>
    <t>Ending Balance</t>
  </si>
  <si>
    <t>Issuance</t>
  </si>
  <si>
    <t>(Repayment/ Amortization)</t>
  </si>
  <si>
    <t>Cash Balances</t>
  </si>
  <si>
    <t>Quarter Ended</t>
  </si>
  <si>
    <t>Historicals</t>
  </si>
  <si>
    <t>Forecasts</t>
  </si>
  <si>
    <t>Growth Analysis and Drivers</t>
  </si>
  <si>
    <t>DCF Valuations</t>
  </si>
  <si>
    <t>EBIT</t>
  </si>
  <si>
    <t>Free Cash Flow to Firm</t>
  </si>
  <si>
    <t>EBIT x (1-t)</t>
  </si>
  <si>
    <t>Less: Capex</t>
  </si>
  <si>
    <t>Add: Change in working capital</t>
  </si>
  <si>
    <t>FCFF</t>
  </si>
  <si>
    <t>Add: Depreciation &amp; amortization</t>
  </si>
  <si>
    <t>Cost of Capital</t>
  </si>
  <si>
    <t>NPV of explicit period</t>
  </si>
  <si>
    <t>Free cash flow to firm of explicit period (2015E to 2019E)</t>
  </si>
  <si>
    <t>Terminal value @ perpetual growth (2019)</t>
  </si>
  <si>
    <t>Infinite growth rate</t>
  </si>
  <si>
    <t>NPV of terminal value</t>
  </si>
  <si>
    <t>Terminal value as of 2019</t>
  </si>
  <si>
    <t>DCF Valuation Summary</t>
  </si>
  <si>
    <t>DCF calculation as of</t>
  </si>
  <si>
    <t>Enterprise Value</t>
  </si>
  <si>
    <t>Equity value</t>
  </si>
  <si>
    <t>Share Price</t>
  </si>
  <si>
    <t>Sensitivity Analysis</t>
  </si>
  <si>
    <t>WACC</t>
  </si>
  <si>
    <t>growth</t>
  </si>
  <si>
    <t>Enter the current stock price =</t>
  </si>
  <si>
    <t>Enter the strike price on the option =</t>
  </si>
  <si>
    <t>Enter the expiration of the option =</t>
  </si>
  <si>
    <t>Enter the standard deviation in stock prices =</t>
  </si>
  <si>
    <t>Enter the annualized dividend yield on stock =</t>
  </si>
  <si>
    <t>Enter the treasury bond rate =</t>
  </si>
  <si>
    <t>Enter the number of warrants (options) outstanding =</t>
  </si>
  <si>
    <t>Enter the number of shares outstanding =</t>
  </si>
  <si>
    <t>Stock Price=</t>
  </si>
  <si>
    <t>Strike Price=</t>
  </si>
  <si>
    <t>Adjusted S =</t>
  </si>
  <si>
    <t>Adjusted K =</t>
  </si>
  <si>
    <t>Expiration (in years) =</t>
  </si>
  <si>
    <t xml:space="preserve">d1 = </t>
  </si>
  <si>
    <t>N (d1) =</t>
  </si>
  <si>
    <t xml:space="preserve">d2 = </t>
  </si>
  <si>
    <t>N (d2) =</t>
  </si>
  <si>
    <t>issuable upon vesting</t>
  </si>
  <si>
    <t>future issuable</t>
  </si>
  <si>
    <t>Stock Option Value</t>
  </si>
  <si>
    <t>Options Data</t>
  </si>
  <si>
    <t>Options granted</t>
  </si>
  <si>
    <t>Options exercised</t>
  </si>
  <si>
    <t>Current Structure</t>
  </si>
  <si>
    <t>Shares Subject to Outstanding Options</t>
  </si>
  <si>
    <t>Weighted- Average Exercise Price</t>
  </si>
  <si>
    <t>Weighted-Average Remaining Contractual Life (Years)</t>
  </si>
  <si>
    <t>Aggregate Intrinsic Value (in thousands)</t>
  </si>
  <si>
    <t>Common Shares</t>
  </si>
  <si>
    <t>Inputs for Black-Scholes Model</t>
  </si>
  <si>
    <t xml:space="preserve">Options Issued  </t>
  </si>
  <si>
    <t>Total Shares outstanding</t>
  </si>
  <si>
    <t>T Bond Rate</t>
  </si>
  <si>
    <t>Variance</t>
  </si>
  <si>
    <t>Annualized dividend yield</t>
  </si>
  <si>
    <t>Interest Rate</t>
  </si>
  <si>
    <t>Calculation of Box Inc Option</t>
  </si>
  <si>
    <t>Interest Expense Calculation</t>
  </si>
  <si>
    <t>Interest Expense (Revolving Credit)</t>
  </si>
  <si>
    <t>1) Revolving Credit Facility</t>
  </si>
  <si>
    <t>(1) + (2): Total Interest Expense</t>
  </si>
  <si>
    <t>Cash Balance</t>
  </si>
  <si>
    <t>Average Cash Balance</t>
  </si>
  <si>
    <t>Interest Earned</t>
  </si>
  <si>
    <t>Additional Revolving Credit Facility</t>
  </si>
  <si>
    <t xml:space="preserve">Interest Expense </t>
  </si>
  <si>
    <t>Adjusted Equity Value</t>
  </si>
  <si>
    <t>Free Cash Flow Projections</t>
  </si>
  <si>
    <t>&lt;&lt; put your number here</t>
  </si>
  <si>
    <t>Quarterly IS</t>
  </si>
  <si>
    <t>Balance Sheet</t>
  </si>
  <si>
    <t>Depreciation Schedule</t>
  </si>
  <si>
    <t>Amortization Schedule</t>
  </si>
  <si>
    <t>Shareholder's Equity</t>
  </si>
  <si>
    <t>Option Value</t>
  </si>
  <si>
    <t>Shares Oustanding</t>
  </si>
  <si>
    <t>DCF Valuation</t>
  </si>
  <si>
    <t>Assumptions</t>
  </si>
  <si>
    <t>Core Financial Statements</t>
  </si>
  <si>
    <t>Supporting Financial Modeling Schedules</t>
  </si>
  <si>
    <t>Prepared by - Dheeraj Vaidya, CFA, FRM</t>
  </si>
  <si>
    <t>www.wallstreetmojo.com</t>
  </si>
  <si>
    <t>www.educorporatebridge.com</t>
  </si>
  <si>
    <t>email - dheeraj@wallstreetmojo.com</t>
  </si>
  <si>
    <t xml:space="preserve">websites: </t>
  </si>
  <si>
    <t>Quarterly Income Statement</t>
  </si>
  <si>
    <t>Annual Income Statement</t>
  </si>
  <si>
    <t>Annual Balance Sheet</t>
  </si>
  <si>
    <t>Annual Cash Flows</t>
  </si>
  <si>
    <t>Shares Oustanding Schedule</t>
  </si>
  <si>
    <t>Alibaba IPO</t>
  </si>
  <si>
    <t>China commerce</t>
  </si>
  <si>
    <t>International commerce</t>
  </si>
  <si>
    <t>Cloud computing and Internet infrastructure</t>
  </si>
  <si>
    <t>Others</t>
  </si>
  <si>
    <t>Product development expenses</t>
  </si>
  <si>
    <t>Sales and marketing expenses</t>
  </si>
  <si>
    <t>General and administrative expenses(2)</t>
  </si>
  <si>
    <t>Amortization of intangible assets</t>
  </si>
  <si>
    <t>Impairment of goodwill and intangible assets</t>
  </si>
  <si>
    <t>Yahoo TIPLA amendment payment(3)</t>
  </si>
  <si>
    <t>—  </t>
  </si>
  <si>
    <t>Interest and investment income (loss), net</t>
  </si>
  <si>
    <t>Interest Expense</t>
  </si>
  <si>
    <t>Income tax expenses</t>
  </si>
  <si>
    <t>Share of results of equity investees</t>
  </si>
  <si>
    <t>Net income (loss)</t>
  </si>
  <si>
    <t>Net income (loss) attributable to noncontrolling interests</t>
  </si>
  <si>
    <t>Net income (loss) attributable to Alibaba Group Holding Limited</t>
  </si>
  <si>
    <t>Dividends accrued on convertible preference shares</t>
  </si>
  <si>
    <t>(RMB in Million Except Per Share Amounts)</t>
  </si>
  <si>
    <t>Short-term investments</t>
  </si>
  <si>
    <t>Restricted cash and escrow receivables</t>
  </si>
  <si>
    <t>Loan receivables, net</t>
  </si>
  <si>
    <t>Investment securities</t>
  </si>
  <si>
    <t>Prepayments, receivables and other assets</t>
  </si>
  <si>
    <t>Investment in equity investees</t>
  </si>
  <si>
    <t>Land use rights</t>
  </si>
  <si>
    <t>Intangible assets</t>
  </si>
  <si>
    <t>Current bank borrowings</t>
  </si>
  <si>
    <t>Secured borrowings</t>
  </si>
  <si>
    <t>Income tax payable</t>
  </si>
  <si>
    <t>Escrow money payable</t>
  </si>
  <si>
    <t>Accrued expenses, accounts payable and other liabilities</t>
  </si>
  <si>
    <t>Merchant deposits</t>
  </si>
  <si>
    <t>Deferred revenue and customer advances</t>
  </si>
  <si>
    <t>Deferred tax liabilities</t>
  </si>
  <si>
    <t>Redeemable Preference Shares</t>
  </si>
  <si>
    <t>Non-current bank borrowings</t>
  </si>
  <si>
    <t>Other liabilities</t>
  </si>
  <si>
    <t>Mezzanine equity:</t>
  </si>
  <si>
    <t>Total mezzanine equity</t>
  </si>
  <si>
    <t>Alibaba Group Holding Limited shareholders’ equity:</t>
  </si>
  <si>
    <t>Treasury shares at cost</t>
  </si>
  <si>
    <t>Subscription receivables</t>
  </si>
  <si>
    <t>Statutory reserves</t>
  </si>
  <si>
    <t>Cumulative translation adjustments</t>
  </si>
  <si>
    <t>Unrealized gain (loss) on available-for-sale investment securities, interest rate swaps and others</t>
  </si>
  <si>
    <t>Retained earnings (Accumulated deficits)</t>
  </si>
  <si>
    <t>Total Alibaba Group Holding Limited shareholders’ equity (deficits)</t>
  </si>
  <si>
    <t>Non controlling interests</t>
  </si>
  <si>
    <t>Total equity</t>
  </si>
  <si>
    <t>Ordinary shares</t>
  </si>
  <si>
    <t>Net income</t>
  </si>
  <si>
    <t>Adjustments to reconcile net income to net cash provided by operating activities:</t>
  </si>
  <si>
    <t>(Gain) Loss on disposals of equity investees</t>
  </si>
  <si>
    <t>Realized and unrealized loss (gain) related to investment securities</t>
  </si>
  <si>
    <t>Change in fair value of other assets and liabilities</t>
  </si>
  <si>
    <t>Loss (Gain) on disposals of other subsidiaries</t>
  </si>
  <si>
    <t>Depreciation and amortization of property and equipment and land use rights</t>
  </si>
  <si>
    <t>Share-based compensation expense</t>
  </si>
  <si>
    <t>Equity-settled donation expense</t>
  </si>
  <si>
    <t>Loss (Gain) on disposals of property and equipment</t>
  </si>
  <si>
    <t>Deferred income taxes</t>
  </si>
  <si>
    <t>Allowance for doubtful accounts relating to micro loans</t>
  </si>
  <si>
    <t>Changes in assets and liabilities, net of effects of acquisitions and disposals:</t>
  </si>
  <si>
    <t>Loan receivables</t>
  </si>
  <si>
    <t>Decrease (Increase) in short-term investments, net</t>
  </si>
  <si>
    <t>(Increase) Decrease in restricted cash</t>
  </si>
  <si>
    <t>Decrease (Increase) in trading investment securities, net</t>
  </si>
  <si>
    <t>Acquisitions of available-for-sale and held-to-maturity investment securities</t>
  </si>
  <si>
    <t>Disposals of available-for-sale investment securities</t>
  </si>
  <si>
    <t>Acquisitions of</t>
  </si>
  <si>
    <t>- Land use rights and construction in progress</t>
  </si>
  <si>
    <t>- Other property, equipment and intangible assets</t>
  </si>
  <si>
    <t>Disposals of property and equipment</t>
  </si>
  <si>
    <t>Cash paid for business combinations, net of cash acquired</t>
  </si>
  <si>
    <t>Deconsolidation and disposal of subsidiaries, net of cash proceeds</t>
  </si>
  <si>
    <t>Loans to employees, net of repayments</t>
  </si>
  <si>
    <t>Acquisitions of equity investees</t>
  </si>
  <si>
    <t>Disposals of equity investees</t>
  </si>
  <si>
    <t>Issuance of ordinary shares, including repayment of loan and interest receivable on employee loans for the exercise of ordinary shares</t>
  </si>
  <si>
    <t>Repurchase of ordinary shares</t>
  </si>
  <si>
    <t>Issuance of ordinary shares for Partner Capital Investment Plan (Note 8(c))</t>
  </si>
  <si>
    <t>Issuance of Convertible Preference Shares, net of direct incidental fees incurred</t>
  </si>
  <si>
    <t>Payment of dividend on Convertible Preference Shares</t>
  </si>
  <si>
    <t>Redemption of Redeemable Preference Shares</t>
  </si>
  <si>
    <t>Acquisitions of shares of Alibaba.com Limited</t>
  </si>
  <si>
    <t>Payment for privatization of Alibaba.com Limited</t>
  </si>
  <si>
    <t>Acquisition of the remaining noncontrolling interest in a subsidiary</t>
  </si>
  <si>
    <t>Dividend paid by a consolidated subsidiary to noncontrolling interests</t>
  </si>
  <si>
    <t>Disposals of partial interest in subsidiaries, net of related costs</t>
  </si>
  <si>
    <t>Proceeds from secured borrowings relating to micro loans</t>
  </si>
  <si>
    <t>Proceeds from current bank borrowings</t>
  </si>
  <si>
    <t>Repayment of current bank borrowings</t>
  </si>
  <si>
    <t>Proceeds from non-current bank borrowings</t>
  </si>
  <si>
    <t>Repayment of non-current bank borrowings</t>
  </si>
  <si>
    <t>Income (loss) from operations</t>
  </si>
  <si>
    <t>(1) Share-based compensation expense</t>
  </si>
  <si>
    <t>Retail (i)</t>
  </si>
  <si>
    <t>Wholesale (i)</t>
  </si>
  <si>
    <t>Total China commerce</t>
  </si>
  <si>
    <t>Total international commerce</t>
  </si>
  <si>
    <t>Cloud computing and Internet infrastructure (ii)</t>
  </si>
  <si>
    <t>Others (iii)</t>
  </si>
  <si>
    <t>% yoy</t>
  </si>
  <si>
    <t>Effective tax rates</t>
  </si>
  <si>
    <t>PPE (Break-up for 2014)</t>
  </si>
  <si>
    <t>(as of Dec'2013)</t>
  </si>
  <si>
    <t>Computer equipment and software</t>
  </si>
  <si>
    <t>Furniture, office and transportation equipment</t>
  </si>
  <si>
    <t>Computer equipment and software - Straight Line Method</t>
  </si>
  <si>
    <t>Depreciation (Computer equipment and software)</t>
  </si>
  <si>
    <t>Total Depreciation (Furniture, office and transportation equipment)</t>
  </si>
  <si>
    <t>proforma</t>
  </si>
  <si>
    <t>Ordinary Shares</t>
  </si>
  <si>
    <t>Ordinary Shares Issued through IPO</t>
  </si>
  <si>
    <t>Long Term  (commited payments)</t>
  </si>
  <si>
    <t>2) Long Term (committed)</t>
  </si>
  <si>
    <t>% qoq</t>
  </si>
  <si>
    <t>% qoq (sequential)</t>
  </si>
  <si>
    <t xml:space="preserve">Buildings </t>
  </si>
  <si>
    <t>Buildings</t>
  </si>
  <si>
    <t>Total Depreciation (Buildings)</t>
  </si>
  <si>
    <t>still need to incorporate IPO proceeds</t>
  </si>
  <si>
    <t xml:space="preserve">Valuing Alibaba's Options </t>
  </si>
  <si>
    <t xml:space="preserve">Value per Alibaba's option = </t>
  </si>
  <si>
    <t>Value of all Alibaba's options outstanding =</t>
  </si>
  <si>
    <t>$70 is expected IPO price; converting to RMB</t>
  </si>
  <si>
    <t>Outstanding at March 31, 2013 (i)</t>
  </si>
  <si>
    <t>Outstanding at December 31, 2013 (i)</t>
  </si>
  <si>
    <t>Cancelled/forfeited/expired</t>
  </si>
  <si>
    <t>Total Number of outstanding options provided in the prospectus</t>
  </si>
  <si>
    <t>(see below)</t>
  </si>
  <si>
    <t>Valuation (RMB)</t>
  </si>
  <si>
    <t>Valuation (US$)</t>
  </si>
  <si>
    <t>Income from Operations</t>
  </si>
  <si>
    <t>Add: Share-based compensation expense</t>
  </si>
  <si>
    <t>Adjusted EBITDA</t>
  </si>
  <si>
    <t>Share based compensation expense</t>
  </si>
  <si>
    <t>% Sales</t>
  </si>
  <si>
    <t>Add: D&amp;A</t>
  </si>
  <si>
    <t>+ Cash</t>
  </si>
  <si>
    <t>- Debt</t>
  </si>
  <si>
    <t>+ Short term investments, restricted cash, investment securities</t>
  </si>
  <si>
    <t>+Investment in equity investees</t>
  </si>
  <si>
    <t>+ Alipay valuation</t>
  </si>
  <si>
    <t>$191.5 billion dollars</t>
  </si>
</sst>
</file>

<file path=xl/styles.xml><?xml version="1.0" encoding="utf-8"?>
<styleSheet xmlns="http://schemas.openxmlformats.org/spreadsheetml/2006/main">
  <numFmts count="15">
    <numFmt numFmtId="6" formatCode="&quot;$&quot;#,##0_);[Red]\(&quot;$&quot;#,##0\)"/>
    <numFmt numFmtId="8" formatCode="&quot;$&quot;#,##0.00_);[Red]\(&quot;$&quot;#,##0.00\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[$-409]mmm\-yy;@"/>
    <numFmt numFmtId="166" formatCode="_(* #,##0.0_);_(* \(#,##0.0\);_(* &quot;-&quot;??_);_(@_)"/>
    <numFmt numFmtId="167" formatCode="0.0%"/>
    <numFmt numFmtId="168" formatCode="0.0"/>
    <numFmt numFmtId="169" formatCode="_(* #,##0.0_);_(* \(#,##0.0\);_(* &quot;-&quot;_);_(@_)"/>
    <numFmt numFmtId="170" formatCode="_(* #,##0.0_);_(* \(#,##0.0\);_(* &quot;-&quot;?_);_(@_)"/>
    <numFmt numFmtId="171" formatCode="#,##0.0000"/>
    <numFmt numFmtId="172" formatCode="0.0000"/>
    <numFmt numFmtId="173" formatCode="[$-409]d\-mmm\-yy;@"/>
  </numFmts>
  <fonts count="9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sz val="16"/>
      <color indexed="10"/>
      <name val="Arial"/>
      <family val="2"/>
    </font>
    <font>
      <sz val="11"/>
      <color rgb="FF0070C0"/>
      <name val="Arial"/>
      <family val="2"/>
    </font>
    <font>
      <b/>
      <sz val="18"/>
      <color theme="4" tint="-0.499984740745262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2"/>
      <color rgb="FF00B0F0"/>
      <name val="Arial"/>
      <family val="2"/>
    </font>
    <font>
      <sz val="11"/>
      <color indexed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color indexed="8"/>
      <name val="Verdana"/>
      <family val="2"/>
    </font>
    <font>
      <sz val="10"/>
      <color indexed="17"/>
      <name val="Trebuchet MS"/>
      <family val="2"/>
    </font>
    <font>
      <sz val="11"/>
      <color indexed="17"/>
      <name val="Calibri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11"/>
      <name val="Calibri"/>
      <family val="2"/>
    </font>
    <font>
      <i/>
      <sz val="11"/>
      <name val="Arial"/>
      <family val="2"/>
    </font>
    <font>
      <sz val="11"/>
      <color indexed="48"/>
      <name val="Arial"/>
      <family val="2"/>
    </font>
    <font>
      <sz val="11"/>
      <color indexed="62"/>
      <name val="Arial"/>
      <family val="2"/>
    </font>
    <font>
      <sz val="11"/>
      <color indexed="17"/>
      <name val="Arial"/>
      <family val="2"/>
    </font>
    <font>
      <b/>
      <sz val="11"/>
      <color indexed="8"/>
      <name val="Arial"/>
      <family val="2"/>
    </font>
    <font>
      <sz val="11"/>
      <color indexed="12"/>
      <name val="Arial"/>
      <family val="2"/>
    </font>
    <font>
      <b/>
      <sz val="11"/>
      <color indexed="17"/>
      <name val="Arial"/>
      <family val="2"/>
    </font>
    <font>
      <sz val="11"/>
      <color indexed="18"/>
      <name val="Arial"/>
      <family val="2"/>
    </font>
    <font>
      <b/>
      <u/>
      <sz val="11"/>
      <name val="Arial"/>
      <family val="2"/>
    </font>
    <font>
      <sz val="11"/>
      <color rgb="FF00B050"/>
      <name val="Arial"/>
      <family val="2"/>
    </font>
    <font>
      <b/>
      <sz val="11"/>
      <color theme="6" tint="-0.499984740745262"/>
      <name val="Arial"/>
      <family val="2"/>
    </font>
    <font>
      <b/>
      <u/>
      <sz val="12"/>
      <color rgb="FF00B0F0"/>
      <name val="Arial"/>
      <family val="2"/>
    </font>
    <font>
      <sz val="11"/>
      <color rgb="FF0070C0"/>
      <name val="Calibri"/>
      <family val="2"/>
    </font>
    <font>
      <b/>
      <sz val="8"/>
      <color indexed="81"/>
      <name val="Tahoma"/>
      <family val="2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u/>
      <sz val="11"/>
      <color theme="1"/>
      <name val="Times New Roman"/>
      <family val="1"/>
    </font>
    <font>
      <sz val="11"/>
      <color rgb="FF0070C0"/>
      <name val="Calibri"/>
      <family val="2"/>
      <scheme val="minor"/>
    </font>
    <font>
      <b/>
      <u/>
      <sz val="11"/>
      <color theme="1"/>
      <name val="Arial"/>
      <family val="2"/>
    </font>
    <font>
      <sz val="8"/>
      <color theme="1"/>
      <name val="Times New Roman"/>
      <family val="1"/>
    </font>
    <font>
      <u/>
      <sz val="11"/>
      <name val="Arial"/>
      <family val="2"/>
    </font>
    <font>
      <b/>
      <sz val="11"/>
      <color theme="0"/>
      <name val="Calibri"/>
      <family val="2"/>
      <scheme val="minor"/>
    </font>
    <font>
      <sz val="11"/>
      <color theme="0"/>
      <name val="Arial"/>
      <family val="2"/>
    </font>
    <font>
      <sz val="10"/>
      <color rgb="FF00B050"/>
      <name val="Arial"/>
      <family val="2"/>
    </font>
    <font>
      <sz val="11"/>
      <color rgb="FF00B050"/>
      <name val="Calibri"/>
      <family val="2"/>
      <scheme val="minor"/>
    </font>
    <font>
      <sz val="10"/>
      <color rgb="FF00B0F0"/>
      <name val="Arial"/>
      <family val="2"/>
    </font>
    <font>
      <b/>
      <u val="singleAccounting"/>
      <sz val="11"/>
      <color theme="0"/>
      <name val="Arial"/>
      <family val="2"/>
    </font>
    <font>
      <b/>
      <u val="singleAccounting"/>
      <sz val="11"/>
      <color theme="0"/>
      <name val="Calibri"/>
      <family val="2"/>
      <scheme val="minor"/>
    </font>
    <font>
      <sz val="9"/>
      <name val="Geneva"/>
    </font>
    <font>
      <b/>
      <sz val="14"/>
      <name val="Times"/>
    </font>
    <font>
      <b/>
      <sz val="14"/>
      <name val="Geneva"/>
    </font>
    <font>
      <sz val="10"/>
      <name val="Times"/>
    </font>
    <font>
      <i/>
      <sz val="10"/>
      <name val="Times"/>
    </font>
    <font>
      <i/>
      <sz val="10"/>
      <name val="Geneva"/>
    </font>
    <font>
      <b/>
      <sz val="10"/>
      <name val="Times"/>
    </font>
    <font>
      <b/>
      <sz val="10"/>
      <color theme="1"/>
      <name val="Times New Roman"/>
      <family val="1"/>
    </font>
    <font>
      <sz val="10"/>
      <name val="Times New Roman"/>
      <family val="1"/>
    </font>
    <font>
      <sz val="10"/>
      <color indexed="10"/>
      <name val="Times New Roman"/>
      <family val="1"/>
    </font>
    <font>
      <b/>
      <sz val="10"/>
      <name val="Times New Roman"/>
      <family val="1"/>
    </font>
    <font>
      <sz val="10"/>
      <color indexed="17"/>
      <name val="Times New Roman"/>
      <family val="1"/>
    </font>
    <font>
      <sz val="10"/>
      <color indexed="8"/>
      <name val="Times New Roman"/>
      <family val="1"/>
    </font>
    <font>
      <sz val="10"/>
      <color theme="0"/>
      <name val="Times New Roman"/>
      <family val="1"/>
    </font>
    <font>
      <b/>
      <sz val="10"/>
      <color theme="0"/>
      <name val="Times New Roman"/>
      <family val="1"/>
    </font>
    <font>
      <b/>
      <sz val="10"/>
      <color theme="0"/>
      <name val="Times"/>
    </font>
    <font>
      <i/>
      <sz val="10"/>
      <color theme="0"/>
      <name val="Times"/>
    </font>
    <font>
      <i/>
      <sz val="10"/>
      <color theme="0"/>
      <name val="Geneva"/>
    </font>
    <font>
      <sz val="10"/>
      <color rgb="FF00B050"/>
      <name val="Times"/>
    </font>
    <font>
      <sz val="10"/>
      <color rgb="FF0070C0"/>
      <name val="Times"/>
    </font>
    <font>
      <sz val="10"/>
      <color theme="0"/>
      <name val="Times"/>
    </font>
    <font>
      <b/>
      <u/>
      <sz val="11"/>
      <color theme="0"/>
      <name val="Arial"/>
      <family val="2"/>
    </font>
    <font>
      <u/>
      <sz val="12.65"/>
      <color theme="10"/>
      <name val="Calibri"/>
      <family val="2"/>
    </font>
    <font>
      <u/>
      <sz val="11"/>
      <color theme="10"/>
      <name val="Calibri"/>
      <family val="2"/>
      <scheme val="minor"/>
    </font>
    <font>
      <u/>
      <sz val="12.65"/>
      <color theme="0"/>
      <name val="Calibri"/>
      <family val="2"/>
    </font>
    <font>
      <sz val="18"/>
      <color theme="0"/>
      <name val="Calibri"/>
      <family val="2"/>
      <scheme val="minor"/>
    </font>
    <font>
      <b/>
      <sz val="25"/>
      <color theme="0"/>
      <name val="Calibri"/>
      <family val="2"/>
      <scheme val="minor"/>
    </font>
    <font>
      <sz val="11"/>
      <color theme="1"/>
      <name val="Cambria"/>
      <family val="1"/>
      <scheme val="major"/>
    </font>
    <font>
      <b/>
      <sz val="11"/>
      <color theme="0"/>
      <name val="Cambria"/>
      <family val="1"/>
      <scheme val="major"/>
    </font>
    <font>
      <u/>
      <sz val="11"/>
      <color theme="0"/>
      <name val="Cambria"/>
      <family val="1"/>
      <scheme val="major"/>
    </font>
    <font>
      <b/>
      <u val="singleAccounting"/>
      <sz val="11"/>
      <color theme="1"/>
      <name val="Times New Roman"/>
      <family val="1"/>
    </font>
    <font>
      <sz val="11"/>
      <color theme="0"/>
      <name val="Times New Roman"/>
      <family val="1"/>
    </font>
    <font>
      <sz val="11"/>
      <color theme="0"/>
      <name val="Cambria"/>
      <family val="1"/>
      <scheme val="maj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color rgb="FF0070C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9"/>
      <color rgb="FF000000"/>
      <name val="Times New Roman"/>
      <family val="1"/>
    </font>
    <font>
      <sz val="8.5"/>
      <color theme="1"/>
      <name val="Times New Roman"/>
      <family val="1"/>
    </font>
    <font>
      <i/>
      <sz val="11"/>
      <color theme="1"/>
      <name val="Arial"/>
      <family val="2"/>
    </font>
    <font>
      <sz val="8"/>
      <color indexed="81"/>
      <name val="Tahoma"/>
      <family val="2"/>
    </font>
    <font>
      <sz val="10"/>
      <name val="Calibri"/>
      <family val="2"/>
      <scheme val="minor"/>
    </font>
    <font>
      <sz val="8.5"/>
      <color rgb="FF0070C0"/>
      <name val="Times New Roman"/>
      <family val="1"/>
    </font>
    <font>
      <sz val="11"/>
      <color rgb="FF00B0F0"/>
      <name val="Arial"/>
      <family val="2"/>
    </font>
    <font>
      <sz val="11"/>
      <color rgb="FF00B050"/>
      <name val="Calibri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-0.49998474074526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1" fillId="0" borderId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4" fillId="0" borderId="0">
      <alignment vertical="center"/>
      <protection locked="0"/>
    </xf>
    <xf numFmtId="43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2" fillId="0" borderId="0"/>
    <xf numFmtId="44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0" fontId="74" fillId="0" borderId="0" applyNumberFormat="0" applyFill="0" applyBorder="0" applyAlignment="0" applyProtection="0">
      <alignment vertical="top"/>
      <protection locked="0"/>
    </xf>
  </cellStyleXfs>
  <cellXfs count="434">
    <xf numFmtId="0" fontId="0" fillId="0" borderId="0" xfId="0"/>
    <xf numFmtId="0" fontId="3" fillId="0" borderId="0" xfId="0" quotePrefix="1" applyFont="1" applyAlignment="1">
      <alignment horizontal="left"/>
    </xf>
    <xf numFmtId="0" fontId="5" fillId="0" borderId="0" xfId="0" applyFont="1"/>
    <xf numFmtId="0" fontId="6" fillId="0" borderId="0" xfId="0" applyFont="1"/>
    <xf numFmtId="0" fontId="8" fillId="0" borderId="0" xfId="0" applyFont="1"/>
    <xf numFmtId="0" fontId="9" fillId="0" borderId="0" xfId="0" quotePrefix="1" applyFont="1" applyAlignment="1">
      <alignment horizontal="left"/>
    </xf>
    <xf numFmtId="43" fontId="6" fillId="0" borderId="0" xfId="0" applyNumberFormat="1" applyFont="1"/>
    <xf numFmtId="166" fontId="6" fillId="0" borderId="0" xfId="1" applyNumberFormat="1" applyFont="1"/>
    <xf numFmtId="0" fontId="11" fillId="0" borderId="0" xfId="3" applyFill="1"/>
    <xf numFmtId="0" fontId="12" fillId="0" borderId="0" xfId="3" applyFont="1" applyFill="1"/>
    <xf numFmtId="0" fontId="13" fillId="0" borderId="0" xfId="3" applyFont="1" applyFill="1"/>
    <xf numFmtId="165" fontId="8" fillId="0" borderId="1" xfId="0" applyNumberFormat="1" applyFont="1" applyBorder="1"/>
    <xf numFmtId="0" fontId="2" fillId="0" borderId="0" xfId="3" applyFont="1" applyFill="1"/>
    <xf numFmtId="164" fontId="6" fillId="0" borderId="0" xfId="0" applyNumberFormat="1" applyFont="1"/>
    <xf numFmtId="41" fontId="15" fillId="0" borderId="0" xfId="6" applyNumberFormat="1" applyFont="1" applyBorder="1">
      <alignment vertical="center"/>
      <protection locked="0"/>
    </xf>
    <xf numFmtId="166" fontId="18" fillId="0" borderId="0" xfId="7" applyNumberFormat="1" applyFont="1"/>
    <xf numFmtId="167" fontId="18" fillId="0" borderId="0" xfId="8" applyNumberFormat="1" applyFont="1"/>
    <xf numFmtId="41" fontId="17" fillId="0" borderId="2" xfId="0" applyNumberFormat="1" applyFont="1" applyBorder="1" applyAlignment="1">
      <alignment horizontal="right"/>
    </xf>
    <xf numFmtId="169" fontId="17" fillId="0" borderId="0" xfId="0" applyNumberFormat="1" applyFont="1"/>
    <xf numFmtId="168" fontId="19" fillId="0" borderId="0" xfId="0" applyNumberFormat="1" applyFont="1" applyFill="1" applyBorder="1"/>
    <xf numFmtId="0" fontId="0" fillId="0" borderId="0" xfId="0" applyFont="1"/>
    <xf numFmtId="166" fontId="19" fillId="0" borderId="0" xfId="7" applyNumberFormat="1" applyFont="1" applyBorder="1" applyAlignment="1" applyProtection="1">
      <alignment vertical="center"/>
      <protection locked="0"/>
    </xf>
    <xf numFmtId="166" fontId="16" fillId="0" borderId="0" xfId="7" applyNumberFormat="1" applyFont="1" applyBorder="1" applyAlignment="1" applyProtection="1">
      <alignment vertical="center"/>
      <protection locked="0"/>
    </xf>
    <xf numFmtId="166" fontId="19" fillId="0" borderId="0" xfId="7" applyNumberFormat="1" applyFont="1"/>
    <xf numFmtId="0" fontId="18" fillId="0" borderId="0" xfId="0" applyFont="1"/>
    <xf numFmtId="0" fontId="20" fillId="0" borderId="0" xfId="0" applyFont="1"/>
    <xf numFmtId="167" fontId="10" fillId="0" borderId="0" xfId="8" applyNumberFormat="1" applyFont="1"/>
    <xf numFmtId="167" fontId="21" fillId="0" borderId="0" xfId="8" applyNumberFormat="1" applyFont="1"/>
    <xf numFmtId="169" fontId="6" fillId="0" borderId="0" xfId="0" applyNumberFormat="1" applyFont="1"/>
    <xf numFmtId="166" fontId="10" fillId="0" borderId="0" xfId="7" applyNumberFormat="1" applyFont="1"/>
    <xf numFmtId="0" fontId="22" fillId="0" borderId="0" xfId="0" applyFont="1"/>
    <xf numFmtId="0" fontId="24" fillId="0" borderId="2" xfId="0" applyFont="1" applyBorder="1"/>
    <xf numFmtId="0" fontId="6" fillId="0" borderId="2" xfId="0" applyFont="1" applyBorder="1"/>
    <xf numFmtId="0" fontId="6" fillId="0" borderId="0" xfId="0" applyFont="1" applyFill="1" applyBorder="1"/>
    <xf numFmtId="0" fontId="6" fillId="0" borderId="0" xfId="0" applyFont="1" applyAlignment="1">
      <alignment horizontal="left"/>
    </xf>
    <xf numFmtId="0" fontId="6" fillId="0" borderId="4" xfId="0" applyFont="1" applyBorder="1" applyAlignment="1">
      <alignment horizontal="left"/>
    </xf>
    <xf numFmtId="166" fontId="2" fillId="0" borderId="4" xfId="7" applyNumberFormat="1" applyFont="1" applyBorder="1" applyAlignment="1">
      <alignment horizontal="right"/>
    </xf>
    <xf numFmtId="0" fontId="6" fillId="0" borderId="4" xfId="0" applyFont="1" applyBorder="1"/>
    <xf numFmtId="167" fontId="6" fillId="0" borderId="0" xfId="0" applyNumberFormat="1" applyFont="1"/>
    <xf numFmtId="0" fontId="6" fillId="0" borderId="2" xfId="0" applyFont="1" applyFill="1" applyBorder="1" applyAlignment="1">
      <alignment horizontal="left"/>
    </xf>
    <xf numFmtId="41" fontId="24" fillId="0" borderId="2" xfId="0" applyNumberFormat="1" applyFont="1" applyBorder="1" applyAlignment="1">
      <alignment horizontal="right"/>
    </xf>
    <xf numFmtId="0" fontId="24" fillId="0" borderId="0" xfId="0" applyFont="1"/>
    <xf numFmtId="169" fontId="24" fillId="0" borderId="0" xfId="0" applyNumberFormat="1" applyFont="1"/>
    <xf numFmtId="0" fontId="6" fillId="0" borderId="0" xfId="0" applyFont="1" applyBorder="1"/>
    <xf numFmtId="166" fontId="6" fillId="0" borderId="0" xfId="7" applyNumberFormat="1" applyFont="1" applyBorder="1"/>
    <xf numFmtId="166" fontId="6" fillId="0" borderId="0" xfId="7" applyNumberFormat="1" applyFont="1"/>
    <xf numFmtId="0" fontId="24" fillId="0" borderId="4" xfId="0" applyFont="1" applyBorder="1"/>
    <xf numFmtId="166" fontId="24" fillId="0" borderId="4" xfId="0" applyNumberFormat="1" applyFont="1" applyBorder="1"/>
    <xf numFmtId="0" fontId="24" fillId="0" borderId="5" xfId="0" applyFont="1" applyBorder="1"/>
    <xf numFmtId="166" fontId="24" fillId="0" borderId="6" xfId="7" applyNumberFormat="1" applyFont="1" applyBorder="1"/>
    <xf numFmtId="41" fontId="26" fillId="0" borderId="0" xfId="6" applyNumberFormat="1" applyFont="1" applyBorder="1">
      <alignment vertical="center"/>
      <protection locked="0"/>
    </xf>
    <xf numFmtId="168" fontId="2" fillId="0" borderId="0" xfId="0" applyNumberFormat="1" applyFont="1" applyFill="1" applyBorder="1"/>
    <xf numFmtId="166" fontId="6" fillId="3" borderId="0" xfId="7" applyNumberFormat="1" applyFont="1" applyFill="1"/>
    <xf numFmtId="166" fontId="6" fillId="0" borderId="0" xfId="7" applyNumberFormat="1" applyFont="1" applyFill="1"/>
    <xf numFmtId="166" fontId="25" fillId="0" borderId="0" xfId="7" applyNumberFormat="1" applyFont="1" applyFill="1"/>
    <xf numFmtId="166" fontId="10" fillId="0" borderId="0" xfId="7" applyNumberFormat="1" applyFont="1" applyFill="1"/>
    <xf numFmtId="166" fontId="27" fillId="3" borderId="0" xfId="7" applyNumberFormat="1" applyFont="1" applyFill="1" applyBorder="1" applyAlignment="1" applyProtection="1">
      <alignment vertical="center"/>
      <protection locked="0"/>
    </xf>
    <xf numFmtId="166" fontId="10" fillId="3" borderId="0" xfId="7" applyNumberFormat="1" applyFont="1" applyFill="1"/>
    <xf numFmtId="166" fontId="2" fillId="0" borderId="0" xfId="7" applyNumberFormat="1" applyFont="1"/>
    <xf numFmtId="0" fontId="10" fillId="0" borderId="0" xfId="0" applyFont="1"/>
    <xf numFmtId="166" fontId="6" fillId="0" borderId="0" xfId="0" applyNumberFormat="1" applyFont="1"/>
    <xf numFmtId="164" fontId="23" fillId="0" borderId="0" xfId="1" applyNumberFormat="1" applyFont="1"/>
    <xf numFmtId="164" fontId="6" fillId="0" borderId="0" xfId="1" applyNumberFormat="1" applyFont="1"/>
    <xf numFmtId="164" fontId="24" fillId="0" borderId="0" xfId="1" applyNumberFormat="1" applyFont="1"/>
    <xf numFmtId="164" fontId="0" fillId="0" borderId="0" xfId="1" applyNumberFormat="1" applyFont="1"/>
    <xf numFmtId="167" fontId="10" fillId="0" borderId="0" xfId="2" applyNumberFormat="1" applyFont="1"/>
    <xf numFmtId="164" fontId="8" fillId="0" borderId="7" xfId="1" applyNumberFormat="1" applyFont="1" applyBorder="1"/>
    <xf numFmtId="164" fontId="24" fillId="0" borderId="7" xfId="1" applyNumberFormat="1" applyFont="1" applyBorder="1"/>
    <xf numFmtId="0" fontId="28" fillId="0" borderId="0" xfId="0" applyFont="1"/>
    <xf numFmtId="0" fontId="7" fillId="0" borderId="7" xfId="0" applyFont="1" applyBorder="1"/>
    <xf numFmtId="41" fontId="30" fillId="0" borderId="0" xfId="6" applyNumberFormat="1" applyFont="1" applyBorder="1">
      <alignment vertical="center"/>
      <protection locked="0"/>
    </xf>
    <xf numFmtId="0" fontId="31" fillId="0" borderId="0" xfId="0" quotePrefix="1" applyFont="1" applyAlignment="1">
      <alignment horizontal="left"/>
    </xf>
    <xf numFmtId="164" fontId="4" fillId="0" borderId="0" xfId="1" applyNumberFormat="1" applyFont="1"/>
    <xf numFmtId="167" fontId="4" fillId="0" borderId="0" xfId="2" applyNumberFormat="1" applyFont="1"/>
    <xf numFmtId="3" fontId="0" fillId="0" borderId="0" xfId="0" applyNumberFormat="1"/>
    <xf numFmtId="0" fontId="24" fillId="4" borderId="0" xfId="0" applyFont="1" applyFill="1"/>
    <xf numFmtId="0" fontId="17" fillId="4" borderId="0" xfId="0" applyFont="1" applyFill="1"/>
    <xf numFmtId="0" fontId="0" fillId="4" borderId="0" xfId="0" applyFill="1"/>
    <xf numFmtId="0" fontId="6" fillId="0" borderId="8" xfId="0" applyFont="1" applyBorder="1" applyAlignment="1">
      <alignment horizontal="left" indent="1"/>
    </xf>
    <xf numFmtId="166" fontId="6" fillId="0" borderId="9" xfId="7" applyNumberFormat="1" applyFont="1" applyBorder="1"/>
    <xf numFmtId="0" fontId="6" fillId="0" borderId="11" xfId="0" applyFont="1" applyBorder="1" applyAlignment="1">
      <alignment horizontal="left" indent="1"/>
    </xf>
    <xf numFmtId="0" fontId="6" fillId="0" borderId="13" xfId="0" applyFont="1" applyBorder="1" applyAlignment="1">
      <alignment horizontal="left" indent="1"/>
    </xf>
    <xf numFmtId="166" fontId="6" fillId="0" borderId="1" xfId="7" applyNumberFormat="1" applyFont="1" applyBorder="1"/>
    <xf numFmtId="166" fontId="4" fillId="0" borderId="0" xfId="7" applyNumberFormat="1" applyFont="1" applyFill="1"/>
    <xf numFmtId="0" fontId="34" fillId="0" borderId="0" xfId="0" applyFont="1"/>
    <xf numFmtId="0" fontId="6" fillId="0" borderId="7" xfId="0" applyFont="1" applyBorder="1"/>
    <xf numFmtId="166" fontId="10" fillId="0" borderId="7" xfId="7" applyNumberFormat="1" applyFont="1" applyBorder="1"/>
    <xf numFmtId="3" fontId="37" fillId="0" borderId="0" xfId="0" applyNumberFormat="1" applyFont="1"/>
    <xf numFmtId="0" fontId="6" fillId="0" borderId="3" xfId="0" applyFont="1" applyBorder="1"/>
    <xf numFmtId="0" fontId="0" fillId="0" borderId="2" xfId="0" applyBorder="1"/>
    <xf numFmtId="0" fontId="7" fillId="0" borderId="3" xfId="0" applyFont="1" applyBorder="1"/>
    <xf numFmtId="0" fontId="35" fillId="0" borderId="3" xfId="0" applyFont="1" applyBorder="1"/>
    <xf numFmtId="0" fontId="0" fillId="0" borderId="15" xfId="0" applyBorder="1"/>
    <xf numFmtId="0" fontId="0" fillId="0" borderId="17" xfId="0" applyBorder="1"/>
    <xf numFmtId="0" fontId="0" fillId="0" borderId="0" xfId="0" applyAlignment="1">
      <alignment horizontal="left" indent="2"/>
    </xf>
    <xf numFmtId="0" fontId="35" fillId="0" borderId="7" xfId="0" applyFont="1" applyBorder="1"/>
    <xf numFmtId="0" fontId="2" fillId="0" borderId="0" xfId="0" quotePrefix="1" applyFont="1" applyFill="1" applyAlignment="1">
      <alignment horizontal="left" indent="2"/>
    </xf>
    <xf numFmtId="166" fontId="0" fillId="0" borderId="0" xfId="1" applyNumberFormat="1" applyFont="1"/>
    <xf numFmtId="166" fontId="2" fillId="0" borderId="4" xfId="1" applyNumberFormat="1" applyFont="1" applyBorder="1" applyAlignment="1">
      <alignment horizontal="right"/>
    </xf>
    <xf numFmtId="0" fontId="6" fillId="0" borderId="0" xfId="0" applyFont="1" applyFill="1"/>
    <xf numFmtId="169" fontId="6" fillId="0" borderId="0" xfId="0" applyNumberFormat="1" applyFont="1" applyFill="1"/>
    <xf numFmtId="0" fontId="22" fillId="0" borderId="0" xfId="0" applyFont="1" applyFill="1"/>
    <xf numFmtId="0" fontId="7" fillId="0" borderId="0" xfId="0" applyFont="1"/>
    <xf numFmtId="0" fontId="42" fillId="0" borderId="0" xfId="0" applyFont="1"/>
    <xf numFmtId="164" fontId="6" fillId="0" borderId="0" xfId="1" applyNumberFormat="1" applyFont="1" applyBorder="1"/>
    <xf numFmtId="0" fontId="0" fillId="0" borderId="4" xfId="0" applyBorder="1"/>
    <xf numFmtId="166" fontId="23" fillId="0" borderId="0" xfId="7" applyNumberFormat="1" applyFont="1" applyFill="1"/>
    <xf numFmtId="167" fontId="6" fillId="0" borderId="0" xfId="2" applyNumberFormat="1" applyFont="1"/>
    <xf numFmtId="3" fontId="6" fillId="0" borderId="0" xfId="0" applyNumberFormat="1" applyFont="1"/>
    <xf numFmtId="0" fontId="6" fillId="0" borderId="0" xfId="0" applyFont="1" applyAlignment="1">
      <alignment horizontal="left" indent="1"/>
    </xf>
    <xf numFmtId="0" fontId="6" fillId="0" borderId="0" xfId="0" applyFont="1" applyAlignment="1">
      <alignment horizontal="left" indent="2"/>
    </xf>
    <xf numFmtId="0" fontId="7" fillId="0" borderId="0" xfId="0" applyFont="1" applyBorder="1"/>
    <xf numFmtId="164" fontId="7" fillId="0" borderId="3" xfId="1" applyNumberFormat="1" applyFont="1" applyBorder="1"/>
    <xf numFmtId="164" fontId="7" fillId="0" borderId="7" xfId="1" applyNumberFormat="1" applyFont="1" applyBorder="1"/>
    <xf numFmtId="164" fontId="6" fillId="0" borderId="2" xfId="1" applyNumberFormat="1" applyFont="1" applyBorder="1"/>
    <xf numFmtId="0" fontId="2" fillId="0" borderId="0" xfId="0" applyFont="1" applyFill="1" applyAlignment="1">
      <alignment horizontal="left" indent="2"/>
    </xf>
    <xf numFmtId="164" fontId="2" fillId="0" borderId="0" xfId="1" applyNumberFormat="1" applyFont="1"/>
    <xf numFmtId="167" fontId="2" fillId="0" borderId="0" xfId="2" applyNumberFormat="1" applyFont="1"/>
    <xf numFmtId="164" fontId="41" fillId="0" borderId="0" xfId="1" applyNumberFormat="1" applyFont="1"/>
    <xf numFmtId="164" fontId="11" fillId="0" borderId="0" xfId="1" applyNumberFormat="1" applyFont="1" applyFill="1"/>
    <xf numFmtId="164" fontId="35" fillId="0" borderId="3" xfId="1" applyNumberFormat="1" applyFont="1" applyBorder="1"/>
    <xf numFmtId="164" fontId="35" fillId="0" borderId="7" xfId="1" applyNumberFormat="1" applyFont="1" applyBorder="1"/>
    <xf numFmtId="164" fontId="41" fillId="0" borderId="16" xfId="1" applyNumberFormat="1" applyFont="1" applyBorder="1"/>
    <xf numFmtId="164" fontId="0" fillId="0" borderId="16" xfId="1" applyNumberFormat="1" applyFont="1" applyBorder="1"/>
    <xf numFmtId="164" fontId="0" fillId="0" borderId="2" xfId="1" applyNumberFormat="1" applyFont="1" applyBorder="1"/>
    <xf numFmtId="164" fontId="13" fillId="0" borderId="0" xfId="1" applyNumberFormat="1" applyFont="1" applyFill="1"/>
    <xf numFmtId="167" fontId="6" fillId="0" borderId="0" xfId="2" applyNumberFormat="1" applyFont="1" applyFill="1" applyBorder="1"/>
    <xf numFmtId="164" fontId="6" fillId="0" borderId="9" xfId="1" applyNumberFormat="1" applyFont="1" applyBorder="1"/>
    <xf numFmtId="164" fontId="6" fillId="0" borderId="10" xfId="1" applyNumberFormat="1" applyFont="1" applyBorder="1"/>
    <xf numFmtId="164" fontId="6" fillId="0" borderId="12" xfId="1" applyNumberFormat="1" applyFont="1" applyBorder="1"/>
    <xf numFmtId="164" fontId="6" fillId="0" borderId="1" xfId="1" applyNumberFormat="1" applyFont="1" applyBorder="1"/>
    <xf numFmtId="164" fontId="6" fillId="0" borderId="14" xfId="1" applyNumberFormat="1" applyFont="1" applyBorder="1"/>
    <xf numFmtId="0" fontId="6" fillId="0" borderId="0" xfId="0" applyFont="1" applyAlignment="1">
      <alignment horizontal="right" indent="1"/>
    </xf>
    <xf numFmtId="166" fontId="6" fillId="4" borderId="0" xfId="7" applyNumberFormat="1" applyFont="1" applyFill="1"/>
    <xf numFmtId="166" fontId="4" fillId="4" borderId="0" xfId="7" applyNumberFormat="1" applyFont="1" applyFill="1"/>
    <xf numFmtId="166" fontId="25" fillId="4" borderId="0" xfId="7" applyNumberFormat="1" applyFont="1" applyFill="1"/>
    <xf numFmtId="166" fontId="10" fillId="4" borderId="0" xfId="7" applyNumberFormat="1" applyFont="1" applyFill="1"/>
    <xf numFmtId="166" fontId="19" fillId="4" borderId="0" xfId="7" applyNumberFormat="1" applyFont="1" applyFill="1" applyBorder="1" applyAlignment="1" applyProtection="1">
      <alignment vertical="center"/>
      <protection locked="0"/>
    </xf>
    <xf numFmtId="166" fontId="16" fillId="4" borderId="0" xfId="7" applyNumberFormat="1" applyFont="1" applyFill="1" applyBorder="1" applyAlignment="1" applyProtection="1">
      <alignment vertical="center"/>
      <protection locked="0"/>
    </xf>
    <xf numFmtId="166" fontId="16" fillId="4" borderId="0" xfId="7" applyNumberFormat="1" applyFont="1" applyFill="1"/>
    <xf numFmtId="166" fontId="32" fillId="0" borderId="0" xfId="7" applyNumberFormat="1" applyFont="1"/>
    <xf numFmtId="166" fontId="8" fillId="3" borderId="0" xfId="7" applyNumberFormat="1" applyFont="1" applyFill="1" applyBorder="1" applyAlignment="1" applyProtection="1">
      <alignment vertical="center"/>
      <protection locked="0"/>
    </xf>
    <xf numFmtId="166" fontId="26" fillId="4" borderId="0" xfId="7" applyNumberFormat="1" applyFont="1" applyFill="1" applyBorder="1" applyAlignment="1" applyProtection="1">
      <alignment vertical="center"/>
      <protection locked="0"/>
    </xf>
    <xf numFmtId="166" fontId="26" fillId="0" borderId="0" xfId="7" applyNumberFormat="1" applyFont="1" applyFill="1" applyBorder="1" applyAlignment="1" applyProtection="1">
      <alignment vertical="center"/>
      <protection locked="0"/>
    </xf>
    <xf numFmtId="166" fontId="23" fillId="4" borderId="0" xfId="7" applyNumberFormat="1" applyFont="1" applyFill="1" applyBorder="1" applyAlignment="1" applyProtection="1">
      <alignment vertical="center"/>
      <protection locked="0"/>
    </xf>
    <xf numFmtId="166" fontId="23" fillId="0" borderId="0" xfId="7" applyNumberFormat="1" applyFont="1" applyFill="1" applyBorder="1" applyAlignment="1" applyProtection="1">
      <alignment vertical="center"/>
      <protection locked="0"/>
    </xf>
    <xf numFmtId="0" fontId="6" fillId="0" borderId="0" xfId="0" quotePrefix="1" applyFont="1"/>
    <xf numFmtId="166" fontId="23" fillId="4" borderId="0" xfId="7" applyNumberFormat="1" applyFont="1" applyFill="1"/>
    <xf numFmtId="166" fontId="22" fillId="4" borderId="0" xfId="7" applyNumberFormat="1" applyFont="1" applyFill="1"/>
    <xf numFmtId="166" fontId="22" fillId="0" borderId="0" xfId="7" applyNumberFormat="1" applyFont="1" applyFill="1"/>
    <xf numFmtId="166" fontId="24" fillId="4" borderId="0" xfId="7" applyNumberFormat="1" applyFont="1" applyFill="1"/>
    <xf numFmtId="166" fontId="24" fillId="0" borderId="0" xfId="7" applyNumberFormat="1" applyFont="1" applyFill="1"/>
    <xf numFmtId="0" fontId="44" fillId="0" borderId="0" xfId="0" applyFont="1"/>
    <xf numFmtId="166" fontId="25" fillId="0" borderId="0" xfId="7" applyNumberFormat="1" applyFont="1" applyBorder="1"/>
    <xf numFmtId="166" fontId="25" fillId="0" borderId="0" xfId="7" applyNumberFormat="1" applyFont="1" applyFill="1" applyBorder="1"/>
    <xf numFmtId="166" fontId="6" fillId="0" borderId="0" xfId="0" applyNumberFormat="1" applyFont="1" applyFill="1"/>
    <xf numFmtId="167" fontId="22" fillId="0" borderId="0" xfId="0" applyNumberFormat="1" applyFont="1"/>
    <xf numFmtId="167" fontId="4" fillId="0" borderId="0" xfId="0" applyNumberFormat="1" applyFont="1" applyFill="1"/>
    <xf numFmtId="167" fontId="2" fillId="0" borderId="0" xfId="0" applyNumberFormat="1" applyFont="1" applyFill="1"/>
    <xf numFmtId="43" fontId="6" fillId="0" borderId="0" xfId="0" applyNumberFormat="1" applyFont="1" applyFill="1"/>
    <xf numFmtId="10" fontId="22" fillId="0" borderId="0" xfId="0" applyNumberFormat="1" applyFont="1"/>
    <xf numFmtId="10" fontId="22" fillId="0" borderId="0" xfId="0" applyNumberFormat="1" applyFont="1" applyFill="1"/>
    <xf numFmtId="0" fontId="35" fillId="0" borderId="0" xfId="0" applyFont="1" applyAlignment="1">
      <alignment horizontal="right"/>
    </xf>
    <xf numFmtId="164" fontId="29" fillId="0" borderId="0" xfId="1" applyNumberFormat="1" applyFont="1"/>
    <xf numFmtId="164" fontId="6" fillId="0" borderId="0" xfId="1" applyNumberFormat="1" applyFont="1" applyFill="1"/>
    <xf numFmtId="0" fontId="8" fillId="0" borderId="1" xfId="0" applyFont="1" applyBorder="1"/>
    <xf numFmtId="164" fontId="47" fillId="0" borderId="0" xfId="1" applyNumberFormat="1" applyFont="1" applyFill="1"/>
    <xf numFmtId="164" fontId="48" fillId="0" borderId="0" xfId="1" applyNumberFormat="1" applyFont="1" applyFill="1"/>
    <xf numFmtId="167" fontId="48" fillId="0" borderId="0" xfId="2" applyNumberFormat="1" applyFont="1" applyFill="1"/>
    <xf numFmtId="0" fontId="0" fillId="0" borderId="0" xfId="0" applyFill="1"/>
    <xf numFmtId="0" fontId="53" fillId="0" borderId="0" xfId="10" applyFont="1"/>
    <xf numFmtId="0" fontId="54" fillId="0" borderId="0" xfId="10" applyFont="1"/>
    <xf numFmtId="0" fontId="55" fillId="0" borderId="0" xfId="10" applyFont="1"/>
    <xf numFmtId="0" fontId="52" fillId="0" borderId="0" xfId="10"/>
    <xf numFmtId="0" fontId="56" fillId="0" borderId="0" xfId="10" applyFont="1"/>
    <xf numFmtId="0" fontId="57" fillId="0" borderId="0" xfId="10" applyFont="1"/>
    <xf numFmtId="0" fontId="58" fillId="0" borderId="0" xfId="10" applyFont="1"/>
    <xf numFmtId="44" fontId="55" fillId="0" borderId="18" xfId="11" applyFont="1" applyBorder="1"/>
    <xf numFmtId="0" fontId="60" fillId="0" borderId="0" xfId="3" applyFont="1" applyFill="1" applyBorder="1"/>
    <xf numFmtId="166" fontId="60" fillId="0" borderId="0" xfId="1" applyNumberFormat="1" applyFont="1" applyBorder="1" applyAlignment="1">
      <alignment vertical="top"/>
    </xf>
    <xf numFmtId="166" fontId="60" fillId="0" borderId="0" xfId="1" applyNumberFormat="1" applyFont="1" applyFill="1" applyBorder="1" applyAlignment="1">
      <alignment vertical="top"/>
    </xf>
    <xf numFmtId="0" fontId="36" fillId="0" borderId="0" xfId="0" applyFont="1" applyBorder="1"/>
    <xf numFmtId="0" fontId="61" fillId="0" borderId="0" xfId="0" quotePrefix="1" applyFont="1" applyBorder="1" applyAlignment="1">
      <alignment horizontal="left"/>
    </xf>
    <xf numFmtId="0" fontId="60" fillId="0" borderId="0" xfId="10" applyFont="1" applyBorder="1"/>
    <xf numFmtId="166" fontId="60" fillId="0" borderId="0" xfId="1" applyNumberFormat="1" applyFont="1" applyBorder="1" applyAlignment="1" applyProtection="1">
      <alignment vertical="center"/>
      <protection locked="0"/>
    </xf>
    <xf numFmtId="166" fontId="60" fillId="0" borderId="0" xfId="1" applyNumberFormat="1" applyFont="1" applyFill="1" applyBorder="1" applyAlignment="1" applyProtection="1">
      <alignment vertical="center"/>
      <protection locked="0"/>
    </xf>
    <xf numFmtId="166" fontId="63" fillId="0" borderId="0" xfId="1" applyNumberFormat="1" applyFont="1" applyFill="1" applyBorder="1"/>
    <xf numFmtId="166" fontId="64" fillId="0" borderId="0" xfId="7" applyNumberFormat="1" applyFont="1" applyBorder="1"/>
    <xf numFmtId="166" fontId="64" fillId="0" borderId="0" xfId="7" applyNumberFormat="1" applyFont="1" applyFill="1" applyBorder="1"/>
    <xf numFmtId="0" fontId="65" fillId="5" borderId="0" xfId="0" applyFont="1" applyFill="1" applyBorder="1"/>
    <xf numFmtId="0" fontId="66" fillId="5" borderId="0" xfId="0" applyFont="1" applyFill="1" applyBorder="1"/>
    <xf numFmtId="166" fontId="65" fillId="5" borderId="0" xfId="7" applyNumberFormat="1" applyFont="1" applyFill="1" applyBorder="1"/>
    <xf numFmtId="0" fontId="62" fillId="0" borderId="4" xfId="10" applyFont="1" applyBorder="1"/>
    <xf numFmtId="164" fontId="60" fillId="0" borderId="0" xfId="1" applyNumberFormat="1" applyFont="1" applyBorder="1"/>
    <xf numFmtId="164" fontId="62" fillId="0" borderId="4" xfId="1" applyNumberFormat="1" applyFont="1" applyBorder="1"/>
    <xf numFmtId="164" fontId="36" fillId="0" borderId="0" xfId="1" applyNumberFormat="1" applyFont="1" applyBorder="1"/>
    <xf numFmtId="0" fontId="59" fillId="0" borderId="4" xfId="0" applyFont="1" applyBorder="1"/>
    <xf numFmtId="164" fontId="59" fillId="2" borderId="4" xfId="1" applyNumberFormat="1" applyFont="1" applyFill="1" applyBorder="1"/>
    <xf numFmtId="0" fontId="59" fillId="2" borderId="4" xfId="0" applyFont="1" applyFill="1" applyBorder="1"/>
    <xf numFmtId="164" fontId="59" fillId="0" borderId="4" xfId="1" applyNumberFormat="1" applyFont="1" applyBorder="1"/>
    <xf numFmtId="10" fontId="55" fillId="7" borderId="20" xfId="10" applyNumberFormat="1" applyFont="1" applyFill="1" applyBorder="1"/>
    <xf numFmtId="0" fontId="67" fillId="5" borderId="0" xfId="10" applyFont="1" applyFill="1"/>
    <xf numFmtId="0" fontId="68" fillId="5" borderId="0" xfId="10" applyFont="1" applyFill="1"/>
    <xf numFmtId="0" fontId="69" fillId="5" borderId="0" xfId="10" applyFont="1" applyFill="1"/>
    <xf numFmtId="6" fontId="55" fillId="2" borderId="18" xfId="10" applyNumberFormat="1" applyFont="1" applyFill="1" applyBorder="1"/>
    <xf numFmtId="0" fontId="70" fillId="0" borderId="20" xfId="10" applyNumberFormat="1" applyFont="1" applyFill="1" applyBorder="1"/>
    <xf numFmtId="0" fontId="70" fillId="0" borderId="20" xfId="11" applyNumberFormat="1" applyFont="1" applyFill="1" applyBorder="1"/>
    <xf numFmtId="0" fontId="71" fillId="0" borderId="20" xfId="10" applyNumberFormat="1" applyFont="1" applyFill="1" applyBorder="1"/>
    <xf numFmtId="10" fontId="71" fillId="0" borderId="20" xfId="12" applyNumberFormat="1" applyFont="1" applyFill="1" applyBorder="1"/>
    <xf numFmtId="10" fontId="71" fillId="0" borderId="20" xfId="10" applyNumberFormat="1" applyFont="1" applyFill="1" applyBorder="1"/>
    <xf numFmtId="164" fontId="70" fillId="0" borderId="20" xfId="1" applyNumberFormat="1" applyFont="1" applyFill="1" applyBorder="1"/>
    <xf numFmtId="172" fontId="55" fillId="0" borderId="0" xfId="10" applyNumberFormat="1" applyFont="1" applyAlignment="1">
      <alignment horizontal="right"/>
    </xf>
    <xf numFmtId="0" fontId="55" fillId="7" borderId="20" xfId="10" applyFont="1" applyFill="1" applyBorder="1"/>
    <xf numFmtId="168" fontId="55" fillId="7" borderId="20" xfId="0" applyNumberFormat="1" applyFont="1" applyFill="1" applyBorder="1"/>
    <xf numFmtId="1" fontId="55" fillId="7" borderId="20" xfId="10" applyNumberFormat="1" applyFont="1" applyFill="1" applyBorder="1"/>
    <xf numFmtId="3" fontId="55" fillId="7" borderId="20" xfId="10" applyNumberFormat="1" applyFont="1" applyFill="1" applyBorder="1"/>
    <xf numFmtId="171" fontId="55" fillId="7" borderId="20" xfId="13" applyNumberFormat="1" applyFont="1" applyFill="1" applyBorder="1"/>
    <xf numFmtId="172" fontId="55" fillId="7" borderId="20" xfId="10" applyNumberFormat="1" applyFont="1" applyFill="1" applyBorder="1" applyAlignment="1">
      <alignment horizontal="right"/>
    </xf>
    <xf numFmtId="0" fontId="72" fillId="5" borderId="0" xfId="10" applyFont="1" applyFill="1"/>
    <xf numFmtId="0" fontId="72" fillId="0" borderId="0" xfId="10" applyFont="1" applyFill="1"/>
    <xf numFmtId="0" fontId="36" fillId="0" borderId="0" xfId="0" applyFont="1" applyFill="1" applyBorder="1"/>
    <xf numFmtId="0" fontId="66" fillId="0" borderId="0" xfId="0" applyFont="1" applyFill="1" applyBorder="1"/>
    <xf numFmtId="166" fontId="65" fillId="0" borderId="0" xfId="7" applyNumberFormat="1" applyFont="1" applyFill="1" applyBorder="1"/>
    <xf numFmtId="0" fontId="65" fillId="0" borderId="0" xfId="0" applyFont="1" applyFill="1" applyBorder="1"/>
    <xf numFmtId="0" fontId="59" fillId="6" borderId="0" xfId="0" applyFont="1" applyFill="1" applyBorder="1"/>
    <xf numFmtId="0" fontId="59" fillId="6" borderId="0" xfId="0" applyFont="1" applyFill="1" applyBorder="1" applyAlignment="1">
      <alignment wrapText="1"/>
    </xf>
    <xf numFmtId="0" fontId="36" fillId="0" borderId="2" xfId="0" applyFont="1" applyBorder="1"/>
    <xf numFmtId="0" fontId="59" fillId="0" borderId="2" xfId="0" applyFont="1" applyBorder="1"/>
    <xf numFmtId="0" fontId="62" fillId="0" borderId="0" xfId="10" applyFont="1" applyBorder="1"/>
    <xf numFmtId="164" fontId="60" fillId="2" borderId="0" xfId="1" applyNumberFormat="1" applyFont="1" applyFill="1" applyBorder="1"/>
    <xf numFmtId="0" fontId="7" fillId="6" borderId="0" xfId="0" applyFont="1" applyFill="1"/>
    <xf numFmtId="164" fontId="7" fillId="6" borderId="0" xfId="0" applyNumberFormat="1" applyFont="1" applyFill="1"/>
    <xf numFmtId="0" fontId="8" fillId="0" borderId="3" xfId="0" applyFont="1" applyBorder="1"/>
    <xf numFmtId="166" fontId="24" fillId="0" borderId="3" xfId="7" applyNumberFormat="1" applyFont="1" applyBorder="1"/>
    <xf numFmtId="166" fontId="24" fillId="0" borderId="3" xfId="7" applyNumberFormat="1" applyFont="1" applyFill="1" applyBorder="1"/>
    <xf numFmtId="166" fontId="46" fillId="5" borderId="0" xfId="7" applyNumberFormat="1" applyFont="1" applyFill="1"/>
    <xf numFmtId="0" fontId="7" fillId="0" borderId="4" xfId="0" applyFont="1" applyBorder="1"/>
    <xf numFmtId="166" fontId="24" fillId="0" borderId="4" xfId="7" applyNumberFormat="1" applyFont="1" applyBorder="1"/>
    <xf numFmtId="166" fontId="24" fillId="0" borderId="4" xfId="7" applyNumberFormat="1" applyFont="1" applyFill="1" applyBorder="1"/>
    <xf numFmtId="166" fontId="10" fillId="0" borderId="4" xfId="7" applyNumberFormat="1" applyFont="1" applyBorder="1"/>
    <xf numFmtId="166" fontId="10" fillId="0" borderId="4" xfId="7" applyNumberFormat="1" applyFont="1" applyFill="1" applyBorder="1"/>
    <xf numFmtId="0" fontId="73" fillId="5" borderId="0" xfId="0" applyFont="1" applyFill="1"/>
    <xf numFmtId="0" fontId="46" fillId="5" borderId="0" xfId="0" applyFont="1" applyFill="1"/>
    <xf numFmtId="166" fontId="7" fillId="0" borderId="3" xfId="0" applyNumberFormat="1" applyFont="1" applyBorder="1"/>
    <xf numFmtId="166" fontId="7" fillId="0" borderId="3" xfId="0" applyNumberFormat="1" applyFont="1" applyFill="1" applyBorder="1"/>
    <xf numFmtId="0" fontId="8" fillId="0" borderId="7" xfId="0" applyFont="1" applyBorder="1"/>
    <xf numFmtId="166" fontId="7" fillId="0" borderId="7" xfId="0" applyNumberFormat="1" applyFont="1" applyBorder="1"/>
    <xf numFmtId="43" fontId="7" fillId="0" borderId="7" xfId="0" applyNumberFormat="1" applyFont="1" applyFill="1" applyBorder="1"/>
    <xf numFmtId="9" fontId="4" fillId="0" borderId="18" xfId="0" applyNumberFormat="1" applyFont="1" applyFill="1" applyBorder="1"/>
    <xf numFmtId="164" fontId="6" fillId="0" borderId="0" xfId="0" applyNumberFormat="1" applyFont="1" applyFill="1"/>
    <xf numFmtId="164" fontId="7" fillId="0" borderId="3" xfId="0" applyNumberFormat="1" applyFont="1" applyFill="1" applyBorder="1"/>
    <xf numFmtId="164" fontId="7" fillId="0" borderId="7" xfId="0" applyNumberFormat="1" applyFont="1" applyFill="1" applyBorder="1"/>
    <xf numFmtId="0" fontId="9" fillId="0" borderId="0" xfId="0" applyFont="1" applyAlignment="1">
      <alignment horizontal="left"/>
    </xf>
    <xf numFmtId="43" fontId="60" fillId="0" borderId="0" xfId="10" applyNumberFormat="1" applyFont="1" applyBorder="1"/>
    <xf numFmtId="0" fontId="0" fillId="0" borderId="0" xfId="0" applyFont="1" applyFill="1"/>
    <xf numFmtId="0" fontId="75" fillId="0" borderId="0" xfId="14" applyFont="1" applyFill="1" applyAlignment="1" applyProtection="1"/>
    <xf numFmtId="0" fontId="35" fillId="0" borderId="0" xfId="0" applyFont="1" applyFill="1"/>
    <xf numFmtId="0" fontId="0" fillId="5" borderId="0" xfId="0" applyFont="1" applyFill="1"/>
    <xf numFmtId="0" fontId="0" fillId="9" borderId="0" xfId="0" applyFont="1" applyFill="1"/>
    <xf numFmtId="0" fontId="76" fillId="5" borderId="0" xfId="14" applyFont="1" applyFill="1" applyAlignment="1" applyProtection="1"/>
    <xf numFmtId="0" fontId="77" fillId="5" borderId="0" xfId="0" applyFont="1" applyFill="1"/>
    <xf numFmtId="0" fontId="78" fillId="5" borderId="0" xfId="0" applyFont="1" applyFill="1"/>
    <xf numFmtId="0" fontId="0" fillId="9" borderId="0" xfId="0" applyFill="1"/>
    <xf numFmtId="0" fontId="79" fillId="5" borderId="0" xfId="0" applyFont="1" applyFill="1"/>
    <xf numFmtId="0" fontId="80" fillId="5" borderId="0" xfId="0" applyFont="1" applyFill="1"/>
    <xf numFmtId="0" fontId="81" fillId="5" borderId="0" xfId="14" applyFont="1" applyFill="1" applyAlignment="1" applyProtection="1"/>
    <xf numFmtId="0" fontId="6" fillId="9" borderId="0" xfId="0" applyFont="1" applyFill="1"/>
    <xf numFmtId="43" fontId="6" fillId="9" borderId="0" xfId="0" applyNumberFormat="1" applyFont="1" applyFill="1"/>
    <xf numFmtId="9" fontId="6" fillId="9" borderId="0" xfId="0" applyNumberFormat="1" applyFont="1" applyFill="1"/>
    <xf numFmtId="0" fontId="11" fillId="9" borderId="0" xfId="3" applyFill="1"/>
    <xf numFmtId="164" fontId="13" fillId="9" borderId="0" xfId="1" applyNumberFormat="1" applyFont="1" applyFill="1"/>
    <xf numFmtId="164" fontId="11" fillId="9" borderId="0" xfId="1" applyNumberFormat="1" applyFont="1" applyFill="1"/>
    <xf numFmtId="0" fontId="13" fillId="9" borderId="0" xfId="3" applyFont="1" applyFill="1"/>
    <xf numFmtId="0" fontId="2" fillId="9" borderId="0" xfId="3" applyFont="1" applyFill="1"/>
    <xf numFmtId="164" fontId="6" fillId="9" borderId="0" xfId="1" applyNumberFormat="1" applyFont="1" applyFill="1"/>
    <xf numFmtId="164" fontId="4" fillId="9" borderId="0" xfId="1" applyNumberFormat="1" applyFont="1" applyFill="1"/>
    <xf numFmtId="164" fontId="0" fillId="9" borderId="0" xfId="1" applyNumberFormat="1" applyFont="1" applyFill="1"/>
    <xf numFmtId="0" fontId="77" fillId="5" borderId="0" xfId="0" quotePrefix="1" applyFont="1" applyFill="1"/>
    <xf numFmtId="0" fontId="35" fillId="9" borderId="0" xfId="0" applyFont="1" applyFill="1"/>
    <xf numFmtId="3" fontId="0" fillId="9" borderId="0" xfId="0" applyNumberFormat="1" applyFill="1"/>
    <xf numFmtId="170" fontId="0" fillId="9" borderId="0" xfId="0" applyNumberFormat="1" applyFill="1"/>
    <xf numFmtId="43" fontId="0" fillId="9" borderId="0" xfId="0" applyNumberFormat="1" applyFill="1"/>
    <xf numFmtId="166" fontId="10" fillId="9" borderId="0" xfId="7" applyNumberFormat="1" applyFont="1" applyFill="1"/>
    <xf numFmtId="166" fontId="18" fillId="9" borderId="0" xfId="7" applyNumberFormat="1" applyFont="1" applyFill="1"/>
    <xf numFmtId="0" fontId="54" fillId="9" borderId="0" xfId="10" applyFont="1" applyFill="1"/>
    <xf numFmtId="0" fontId="57" fillId="9" borderId="0" xfId="10" applyFont="1" applyFill="1"/>
    <xf numFmtId="0" fontId="69" fillId="9" borderId="0" xfId="10" applyFont="1" applyFill="1"/>
    <xf numFmtId="0" fontId="52" fillId="9" borderId="0" xfId="10" applyFill="1"/>
    <xf numFmtId="0" fontId="43" fillId="9" borderId="0" xfId="0" applyFont="1" applyFill="1"/>
    <xf numFmtId="0" fontId="72" fillId="9" borderId="0" xfId="10" applyFont="1" applyFill="1"/>
    <xf numFmtId="10" fontId="67" fillId="9" borderId="0" xfId="10" applyNumberFormat="1" applyFont="1" applyFill="1"/>
    <xf numFmtId="0" fontId="55" fillId="9" borderId="0" xfId="10" applyFont="1" applyFill="1"/>
    <xf numFmtId="10" fontId="58" fillId="9" borderId="0" xfId="10" applyNumberFormat="1" applyFont="1" applyFill="1"/>
    <xf numFmtId="44" fontId="55" fillId="9" borderId="0" xfId="11" applyFont="1" applyFill="1"/>
    <xf numFmtId="0" fontId="77" fillId="0" borderId="0" xfId="0" quotePrefix="1" applyFont="1" applyFill="1"/>
    <xf numFmtId="0" fontId="36" fillId="9" borderId="0" xfId="0" applyFont="1" applyFill="1" applyBorder="1"/>
    <xf numFmtId="0" fontId="60" fillId="9" borderId="0" xfId="3" applyFont="1" applyFill="1" applyBorder="1"/>
    <xf numFmtId="0" fontId="36" fillId="0" borderId="0" xfId="0" applyFont="1"/>
    <xf numFmtId="164" fontId="38" fillId="0" borderId="0" xfId="1" applyNumberFormat="1" applyFont="1"/>
    <xf numFmtId="0" fontId="38" fillId="0" borderId="0" xfId="0" applyFont="1"/>
    <xf numFmtId="164" fontId="39" fillId="0" borderId="4" xfId="1" applyNumberFormat="1" applyFont="1" applyBorder="1"/>
    <xf numFmtId="164" fontId="38" fillId="0" borderId="0" xfId="1" applyNumberFormat="1" applyFont="1" applyFill="1"/>
    <xf numFmtId="164" fontId="38" fillId="0" borderId="0" xfId="0" applyNumberFormat="1" applyFont="1"/>
    <xf numFmtId="165" fontId="38" fillId="0" borderId="0" xfId="0" applyNumberFormat="1" applyFont="1"/>
    <xf numFmtId="8" fontId="38" fillId="0" borderId="0" xfId="0" applyNumberFormat="1" applyFont="1"/>
    <xf numFmtId="164" fontId="36" fillId="0" borderId="0" xfId="0" applyNumberFormat="1" applyFont="1"/>
    <xf numFmtId="167" fontId="36" fillId="0" borderId="0" xfId="2" applyNumberFormat="1" applyFont="1"/>
    <xf numFmtId="6" fontId="36" fillId="0" borderId="0" xfId="0" applyNumberFormat="1" applyFont="1"/>
    <xf numFmtId="6" fontId="36" fillId="0" borderId="0" xfId="9" applyNumberFormat="1" applyFont="1"/>
    <xf numFmtId="0" fontId="59" fillId="0" borderId="7" xfId="0" applyFont="1" applyBorder="1"/>
    <xf numFmtId="43" fontId="59" fillId="0" borderId="7" xfId="1" applyFont="1" applyBorder="1"/>
    <xf numFmtId="0" fontId="40" fillId="0" borderId="0" xfId="0" applyFont="1"/>
    <xf numFmtId="43" fontId="83" fillId="0" borderId="0" xfId="0" applyNumberFormat="1" applyFont="1"/>
    <xf numFmtId="9" fontId="39" fillId="0" borderId="2" xfId="0" applyNumberFormat="1" applyFont="1" applyBorder="1"/>
    <xf numFmtId="9" fontId="39" fillId="0" borderId="19" xfId="0" applyNumberFormat="1" applyFont="1" applyBorder="1"/>
    <xf numFmtId="0" fontId="39" fillId="0" borderId="0" xfId="0" applyFont="1"/>
    <xf numFmtId="0" fontId="84" fillId="5" borderId="0" xfId="14" applyFont="1" applyFill="1" applyAlignment="1" applyProtection="1"/>
    <xf numFmtId="10" fontId="36" fillId="0" borderId="0" xfId="2" applyNumberFormat="1" applyFont="1" applyBorder="1"/>
    <xf numFmtId="165" fontId="8" fillId="2" borderId="1" xfId="0" applyNumberFormat="1" applyFont="1" applyFill="1" applyBorder="1"/>
    <xf numFmtId="164" fontId="8" fillId="0" borderId="0" xfId="1" applyNumberFormat="1" applyFont="1"/>
    <xf numFmtId="164" fontId="7" fillId="0" borderId="0" xfId="1" applyNumberFormat="1" applyFont="1" applyBorder="1"/>
    <xf numFmtId="0" fontId="7" fillId="0" borderId="2" xfId="0" applyFont="1" applyBorder="1"/>
    <xf numFmtId="164" fontId="7" fillId="0" borderId="2" xfId="1" applyNumberFormat="1" applyFont="1" applyBorder="1"/>
    <xf numFmtId="165" fontId="85" fillId="0" borderId="1" xfId="0" applyNumberFormat="1" applyFont="1" applyFill="1" applyBorder="1"/>
    <xf numFmtId="0" fontId="34" fillId="0" borderId="0" xfId="0" applyFont="1" applyFill="1"/>
    <xf numFmtId="3" fontId="41" fillId="0" borderId="0" xfId="0" applyNumberFormat="1" applyFont="1" applyFill="1"/>
    <xf numFmtId="3" fontId="48" fillId="0" borderId="0" xfId="0" applyNumberFormat="1" applyFont="1" applyFill="1"/>
    <xf numFmtId="0" fontId="35" fillId="0" borderId="3" xfId="0" applyFont="1" applyFill="1" applyBorder="1"/>
    <xf numFmtId="3" fontId="35" fillId="0" borderId="3" xfId="0" applyNumberFormat="1" applyFont="1" applyFill="1" applyBorder="1"/>
    <xf numFmtId="3" fontId="0" fillId="0" borderId="0" xfId="0" applyNumberFormat="1" applyFont="1" applyFill="1"/>
    <xf numFmtId="0" fontId="41" fillId="0" borderId="0" xfId="0" applyFont="1" applyFill="1"/>
    <xf numFmtId="3" fontId="86" fillId="0" borderId="0" xfId="0" applyNumberFormat="1" applyFont="1" applyFill="1"/>
    <xf numFmtId="0" fontId="35" fillId="0" borderId="7" xfId="0" applyFont="1" applyFill="1" applyBorder="1"/>
    <xf numFmtId="3" fontId="35" fillId="0" borderId="7" xfId="0" applyNumberFormat="1" applyFont="1" applyFill="1" applyBorder="1"/>
    <xf numFmtId="3" fontId="87" fillId="0" borderId="0" xfId="0" applyNumberFormat="1" applyFont="1" applyFill="1" applyAlignment="1">
      <alignment horizontal="right" wrapText="1"/>
    </xf>
    <xf numFmtId="3" fontId="87" fillId="0" borderId="0" xfId="0" applyNumberFormat="1" applyFont="1" applyFill="1"/>
    <xf numFmtId="0" fontId="87" fillId="0" borderId="2" xfId="0" applyFont="1" applyFill="1" applyBorder="1"/>
    <xf numFmtId="0" fontId="88" fillId="0" borderId="3" xfId="0" applyFont="1" applyFill="1" applyBorder="1"/>
    <xf numFmtId="164" fontId="0" fillId="0" borderId="0" xfId="0" applyNumberFormat="1" applyFont="1" applyFill="1"/>
    <xf numFmtId="43" fontId="0" fillId="0" borderId="0" xfId="0" applyNumberFormat="1" applyFont="1" applyFill="1"/>
    <xf numFmtId="0" fontId="89" fillId="0" borderId="0" xfId="0" applyFont="1"/>
    <xf numFmtId="3" fontId="41" fillId="6" borderId="0" xfId="0" applyNumberFormat="1" applyFont="1" applyFill="1"/>
    <xf numFmtId="3" fontId="35" fillId="6" borderId="3" xfId="0" applyNumberFormat="1" applyFont="1" applyFill="1" applyBorder="1"/>
    <xf numFmtId="3" fontId="0" fillId="6" borderId="0" xfId="0" applyNumberFormat="1" applyFont="1" applyFill="1"/>
    <xf numFmtId="0" fontId="41" fillId="6" borderId="0" xfId="0" applyFont="1" applyFill="1"/>
    <xf numFmtId="0" fontId="0" fillId="6" borderId="0" xfId="0" applyFont="1" applyFill="1"/>
    <xf numFmtId="3" fontId="35" fillId="6" borderId="7" xfId="0" applyNumberFormat="1" applyFont="1" applyFill="1" applyBorder="1"/>
    <xf numFmtId="3" fontId="87" fillId="6" borderId="0" xfId="0" applyNumberFormat="1" applyFont="1" applyFill="1" applyAlignment="1">
      <alignment horizontal="right" wrapText="1"/>
    </xf>
    <xf numFmtId="3" fontId="87" fillId="6" borderId="0" xfId="0" applyNumberFormat="1" applyFont="1" applyFill="1"/>
    <xf numFmtId="3" fontId="87" fillId="6" borderId="2" xfId="0" applyNumberFormat="1" applyFont="1" applyFill="1" applyBorder="1" applyAlignment="1">
      <alignment horizontal="right" wrapText="1"/>
    </xf>
    <xf numFmtId="0" fontId="90" fillId="10" borderId="0" xfId="0" applyFont="1" applyFill="1" applyAlignment="1">
      <alignment horizontal="right" wrapText="1"/>
    </xf>
    <xf numFmtId="0" fontId="90" fillId="10" borderId="0" xfId="0" applyFont="1" applyFill="1"/>
    <xf numFmtId="3" fontId="89" fillId="0" borderId="0" xfId="0" applyNumberFormat="1" applyFont="1"/>
    <xf numFmtId="3" fontId="90" fillId="10" borderId="0" xfId="0" applyNumberFormat="1" applyFont="1" applyFill="1" applyAlignment="1">
      <alignment horizontal="right" wrapText="1"/>
    </xf>
    <xf numFmtId="3" fontId="87" fillId="0" borderId="2" xfId="0" applyNumberFormat="1" applyFont="1" applyFill="1" applyBorder="1"/>
    <xf numFmtId="173" fontId="45" fillId="5" borderId="0" xfId="0" applyNumberFormat="1" applyFont="1" applyFill="1" applyAlignment="1">
      <alignment horizontal="right"/>
    </xf>
    <xf numFmtId="164" fontId="4" fillId="0" borderId="3" xfId="1" applyNumberFormat="1" applyFont="1" applyBorder="1"/>
    <xf numFmtId="164" fontId="4" fillId="0" borderId="2" xfId="1" applyNumberFormat="1" applyFont="1" applyBorder="1"/>
    <xf numFmtId="0" fontId="4" fillId="0" borderId="0" xfId="0" applyFont="1"/>
    <xf numFmtId="9" fontId="6" fillId="0" borderId="0" xfId="2" applyFont="1"/>
    <xf numFmtId="0" fontId="91" fillId="0" borderId="0" xfId="0" applyFont="1" applyAlignment="1">
      <alignment horizontal="left" indent="2"/>
    </xf>
    <xf numFmtId="9" fontId="4" fillId="0" borderId="0" xfId="0" applyNumberFormat="1" applyFont="1"/>
    <xf numFmtId="0" fontId="6" fillId="2" borderId="2" xfId="0" applyFont="1" applyFill="1" applyBorder="1"/>
    <xf numFmtId="167" fontId="4" fillId="0" borderId="0" xfId="8" applyNumberFormat="1" applyFont="1"/>
    <xf numFmtId="167" fontId="2" fillId="0" borderId="0" xfId="8" applyNumberFormat="1" applyFont="1"/>
    <xf numFmtId="166" fontId="10" fillId="2" borderId="0" xfId="7" applyNumberFormat="1" applyFont="1" applyFill="1"/>
    <xf numFmtId="3" fontId="41" fillId="2" borderId="0" xfId="0" applyNumberFormat="1" applyFont="1" applyFill="1"/>
    <xf numFmtId="167" fontId="32" fillId="0" borderId="0" xfId="8" applyNumberFormat="1" applyFont="1"/>
    <xf numFmtId="3" fontId="37" fillId="0" borderId="0" xfId="0" applyNumberFormat="1" applyFont="1" applyFill="1"/>
    <xf numFmtId="0" fontId="60" fillId="0" borderId="0" xfId="10" applyFont="1" applyFill="1" applyBorder="1"/>
    <xf numFmtId="43" fontId="36" fillId="0" borderId="0" xfId="0" applyNumberFormat="1" applyFont="1" applyFill="1" applyBorder="1"/>
    <xf numFmtId="0" fontId="37" fillId="0" borderId="0" xfId="0" applyFont="1" applyFill="1"/>
    <xf numFmtId="164" fontId="49" fillId="4" borderId="0" xfId="1" applyNumberFormat="1" applyFont="1" applyFill="1"/>
    <xf numFmtId="166" fontId="32" fillId="4" borderId="0" xfId="7" applyNumberFormat="1" applyFont="1" applyFill="1"/>
    <xf numFmtId="3" fontId="93" fillId="0" borderId="2" xfId="0" applyNumberFormat="1" applyFont="1" applyFill="1" applyBorder="1"/>
    <xf numFmtId="43" fontId="0" fillId="0" borderId="0" xfId="0" applyNumberFormat="1"/>
    <xf numFmtId="0" fontId="50" fillId="5" borderId="0" xfId="0" applyFont="1" applyFill="1" applyAlignment="1">
      <alignment horizontal="center"/>
    </xf>
    <xf numFmtId="0" fontId="86" fillId="0" borderId="0" xfId="0" applyFont="1" applyFill="1"/>
    <xf numFmtId="0" fontId="94" fillId="10" borderId="0" xfId="0" applyFont="1" applyFill="1" applyAlignment="1">
      <alignment horizontal="right" wrapText="1"/>
    </xf>
    <xf numFmtId="0" fontId="94" fillId="10" borderId="0" xfId="0" applyFont="1" applyFill="1"/>
    <xf numFmtId="166" fontId="4" fillId="2" borderId="0" xfId="7" applyNumberFormat="1" applyFont="1" applyFill="1"/>
    <xf numFmtId="164" fontId="6" fillId="0" borderId="3" xfId="0" applyNumberFormat="1" applyFont="1" applyBorder="1"/>
    <xf numFmtId="164" fontId="47" fillId="2" borderId="0" xfId="1" applyNumberFormat="1" applyFont="1" applyFill="1"/>
    <xf numFmtId="164" fontId="12" fillId="0" borderId="0" xfId="1" applyNumberFormat="1" applyFont="1" applyFill="1"/>
    <xf numFmtId="0" fontId="0" fillId="9" borderId="0" xfId="0" applyFont="1" applyFill="1" applyBorder="1"/>
    <xf numFmtId="0" fontId="6" fillId="9" borderId="0" xfId="0" applyFont="1" applyFill="1" applyBorder="1"/>
    <xf numFmtId="164" fontId="6" fillId="9" borderId="0" xfId="1" applyNumberFormat="1" applyFont="1" applyFill="1" applyBorder="1"/>
    <xf numFmtId="9" fontId="6" fillId="9" borderId="0" xfId="0" applyNumberFormat="1" applyFont="1" applyFill="1" applyBorder="1"/>
    <xf numFmtId="164" fontId="7" fillId="9" borderId="0" xfId="1" applyNumberFormat="1" applyFont="1" applyFill="1" applyBorder="1"/>
    <xf numFmtId="9" fontId="6" fillId="9" borderId="0" xfId="2" applyFont="1" applyFill="1" applyBorder="1"/>
    <xf numFmtId="164" fontId="6" fillId="9" borderId="0" xfId="0" applyNumberFormat="1" applyFont="1" applyFill="1" applyBorder="1"/>
    <xf numFmtId="9" fontId="4" fillId="9" borderId="0" xfId="0" applyNumberFormat="1" applyFont="1" applyFill="1" applyBorder="1"/>
    <xf numFmtId="167" fontId="6" fillId="0" borderId="0" xfId="2" applyNumberFormat="1" applyFont="1" applyFill="1"/>
    <xf numFmtId="9" fontId="6" fillId="0" borderId="0" xfId="0" applyNumberFormat="1" applyFont="1" applyFill="1"/>
    <xf numFmtId="9" fontId="4" fillId="0" borderId="0" xfId="0" applyNumberFormat="1" applyFont="1" applyFill="1"/>
    <xf numFmtId="9" fontId="95" fillId="0" borderId="0" xfId="0" applyNumberFormat="1" applyFont="1" applyFill="1"/>
    <xf numFmtId="9" fontId="95" fillId="2" borderId="0" xfId="0" applyNumberFormat="1" applyFont="1" applyFill="1"/>
    <xf numFmtId="9" fontId="4" fillId="2" borderId="0" xfId="0" applyNumberFormat="1" applyFont="1" applyFill="1"/>
    <xf numFmtId="164" fontId="4" fillId="0" borderId="0" xfId="1" applyNumberFormat="1" applyFont="1" applyFill="1"/>
    <xf numFmtId="167" fontId="95" fillId="0" borderId="0" xfId="0" applyNumberFormat="1" applyFont="1" applyFill="1"/>
    <xf numFmtId="3" fontId="87" fillId="0" borderId="2" xfId="0" applyNumberFormat="1" applyFont="1" applyFill="1" applyBorder="1" applyAlignment="1">
      <alignment horizontal="right" wrapText="1"/>
    </xf>
    <xf numFmtId="3" fontId="87" fillId="2" borderId="2" xfId="0" applyNumberFormat="1" applyFont="1" applyFill="1" applyBorder="1"/>
    <xf numFmtId="164" fontId="41" fillId="0" borderId="0" xfId="1" applyNumberFormat="1" applyFont="1" applyFill="1"/>
    <xf numFmtId="0" fontId="6" fillId="5" borderId="0" xfId="0" applyFont="1" applyFill="1"/>
    <xf numFmtId="166" fontId="6" fillId="0" borderId="4" xfId="7" applyNumberFormat="1" applyFont="1" applyFill="1" applyBorder="1"/>
    <xf numFmtId="166" fontId="96" fillId="0" borderId="0" xfId="7" applyNumberFormat="1" applyFont="1"/>
    <xf numFmtId="43" fontId="70" fillId="0" borderId="20" xfId="1" applyNumberFormat="1" applyFont="1" applyFill="1" applyBorder="1"/>
    <xf numFmtId="38" fontId="36" fillId="0" borderId="0" xfId="0" applyNumberFormat="1" applyFont="1"/>
    <xf numFmtId="0" fontId="38" fillId="0" borderId="8" xfId="0" applyFont="1" applyFill="1" applyBorder="1"/>
    <xf numFmtId="167" fontId="38" fillId="0" borderId="10" xfId="2" applyNumberFormat="1" applyFont="1" applyFill="1" applyBorder="1"/>
    <xf numFmtId="9" fontId="38" fillId="0" borderId="14" xfId="0" applyNumberFormat="1" applyFont="1" applyFill="1" applyBorder="1"/>
    <xf numFmtId="0" fontId="38" fillId="0" borderId="13" xfId="0" applyFont="1" applyFill="1" applyBorder="1"/>
    <xf numFmtId="167" fontId="39" fillId="0" borderId="19" xfId="2" applyNumberFormat="1" applyFont="1" applyBorder="1"/>
    <xf numFmtId="164" fontId="36" fillId="0" borderId="0" xfId="1" applyNumberFormat="1" applyFont="1"/>
    <xf numFmtId="0" fontId="7" fillId="0" borderId="0" xfId="0" applyFont="1" applyFill="1"/>
    <xf numFmtId="164" fontId="7" fillId="0" borderId="0" xfId="0" applyNumberFormat="1" applyFont="1" applyFill="1"/>
    <xf numFmtId="0" fontId="6" fillId="0" borderId="0" xfId="0" applyFont="1" applyFill="1" applyAlignment="1">
      <alignment horizontal="left" indent="2"/>
    </xf>
    <xf numFmtId="167" fontId="95" fillId="0" borderId="0" xfId="2" applyNumberFormat="1" applyFont="1"/>
    <xf numFmtId="0" fontId="7" fillId="0" borderId="4" xfId="0" applyFont="1" applyFill="1" applyBorder="1"/>
    <xf numFmtId="164" fontId="7" fillId="0" borderId="4" xfId="0" applyNumberFormat="1" applyFont="1" applyFill="1" applyBorder="1"/>
    <xf numFmtId="0" fontId="36" fillId="0" borderId="0" xfId="0" quotePrefix="1" applyFont="1"/>
    <xf numFmtId="0" fontId="51" fillId="5" borderId="0" xfId="0" applyFont="1" applyFill="1" applyAlignment="1">
      <alignment horizontal="center"/>
    </xf>
    <xf numFmtId="0" fontId="50" fillId="5" borderId="0" xfId="0" applyFont="1" applyFill="1" applyAlignment="1">
      <alignment horizontal="center"/>
    </xf>
    <xf numFmtId="0" fontId="39" fillId="0" borderId="19" xfId="0" applyFont="1" applyBorder="1" applyAlignment="1">
      <alignment vertical="center" textRotation="90"/>
    </xf>
    <xf numFmtId="0" fontId="59" fillId="0" borderId="0" xfId="0" applyFont="1" applyAlignment="1">
      <alignment horizontal="left"/>
    </xf>
    <xf numFmtId="0" fontId="82" fillId="0" borderId="0" xfId="0" applyFont="1" applyAlignment="1">
      <alignment horizontal="center"/>
    </xf>
    <xf numFmtId="0" fontId="38" fillId="0" borderId="0" xfId="0" quotePrefix="1" applyFont="1" applyFill="1"/>
    <xf numFmtId="0" fontId="66" fillId="11" borderId="2" xfId="0" applyFont="1" applyFill="1" applyBorder="1"/>
    <xf numFmtId="0" fontId="59" fillId="0" borderId="0" xfId="0" applyFont="1"/>
    <xf numFmtId="164" fontId="59" fillId="0" borderId="0" xfId="0" applyNumberFormat="1" applyFont="1"/>
    <xf numFmtId="164" fontId="59" fillId="2" borderId="4" xfId="0" applyNumberFormat="1" applyFont="1" applyFill="1" applyBorder="1"/>
    <xf numFmtId="164" fontId="38" fillId="8" borderId="0" xfId="1" applyNumberFormat="1" applyFont="1" applyFill="1"/>
    <xf numFmtId="164" fontId="38" fillId="2" borderId="0" xfId="1" applyNumberFormat="1" applyFont="1" applyFill="1"/>
    <xf numFmtId="164" fontId="38" fillId="6" borderId="0" xfId="1" applyNumberFormat="1" applyFont="1" applyFill="1"/>
  </cellXfs>
  <cellStyles count="15">
    <cellStyle name="Comma" xfId="1" builtinId="3"/>
    <cellStyle name="Comma 2" xfId="5"/>
    <cellStyle name="Comma 3" xfId="7"/>
    <cellStyle name="Comma 4" xfId="13"/>
    <cellStyle name="Currency" xfId="9" builtinId="4"/>
    <cellStyle name="Currency 2" xfId="4"/>
    <cellStyle name="Currency 3" xfId="11"/>
    <cellStyle name="Hyperlink" xfId="14" builtinId="8"/>
    <cellStyle name="Normal" xfId="0" builtinId="0"/>
    <cellStyle name="Normal 2" xfId="3"/>
    <cellStyle name="Normal 3" xfId="10"/>
    <cellStyle name="Normal_BJH (Dec 2007)" xfId="6"/>
    <cellStyle name="Percent" xfId="2" builtinId="5"/>
    <cellStyle name="Percent 2" xfId="8"/>
    <cellStyle name="Percent 3" xfId="1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717177</xdr:colOff>
      <xdr:row>49</xdr:row>
      <xdr:rowOff>11207</xdr:rowOff>
    </xdr:from>
    <xdr:to>
      <xdr:col>32</xdr:col>
      <xdr:colOff>46192</xdr:colOff>
      <xdr:row>68</xdr:row>
      <xdr:rowOff>118313</xdr:rowOff>
    </xdr:to>
    <xdr:pic>
      <xdr:nvPicPr>
        <xdr:cNvPr id="2" name="Picture 1" descr="Wor7A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228295" y="9233648"/>
          <a:ext cx="11476191" cy="3771429"/>
        </a:xfrm>
        <a:prstGeom prst="rect">
          <a:avLst/>
        </a:prstGeom>
      </xdr:spPr>
    </xdr:pic>
    <xdr:clientData/>
  </xdr:twoCellAnchor>
  <xdr:twoCellAnchor editAs="oneCell">
    <xdr:from>
      <xdr:col>16</xdr:col>
      <xdr:colOff>123264</xdr:colOff>
      <xdr:row>5</xdr:row>
      <xdr:rowOff>190499</xdr:rowOff>
    </xdr:from>
    <xdr:to>
      <xdr:col>32</xdr:col>
      <xdr:colOff>245101</xdr:colOff>
      <xdr:row>20</xdr:row>
      <xdr:rowOff>150365</xdr:rowOff>
    </xdr:to>
    <xdr:pic>
      <xdr:nvPicPr>
        <xdr:cNvPr id="3" name="Picture 2" descr="Wor474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928911" y="1546411"/>
          <a:ext cx="11428572" cy="282857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123266</xdr:colOff>
      <xdr:row>15</xdr:row>
      <xdr:rowOff>145676</xdr:rowOff>
    </xdr:from>
    <xdr:to>
      <xdr:col>14</xdr:col>
      <xdr:colOff>240054</xdr:colOff>
      <xdr:row>39</xdr:row>
      <xdr:rowOff>43705</xdr:rowOff>
    </xdr:to>
    <xdr:pic>
      <xdr:nvPicPr>
        <xdr:cNvPr id="5" name="Picture 4" descr="Wor4A6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3266" y="3552264"/>
          <a:ext cx="11423523" cy="447002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76041</xdr:colOff>
      <xdr:row>46</xdr:row>
      <xdr:rowOff>35219</xdr:rowOff>
    </xdr:from>
    <xdr:to>
      <xdr:col>12</xdr:col>
      <xdr:colOff>729646</xdr:colOff>
      <xdr:row>58</xdr:row>
      <xdr:rowOff>113543</xdr:rowOff>
    </xdr:to>
    <xdr:pic>
      <xdr:nvPicPr>
        <xdr:cNvPr id="2" name="Picture 1" descr="Wor4B6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6541" y="8742190"/>
          <a:ext cx="11747429" cy="222985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31</xdr:row>
      <xdr:rowOff>152400</xdr:rowOff>
    </xdr:from>
    <xdr:to>
      <xdr:col>10</xdr:col>
      <xdr:colOff>503376</xdr:colOff>
      <xdr:row>41</xdr:row>
      <xdr:rowOff>152198</xdr:rowOff>
    </xdr:to>
    <xdr:pic>
      <xdr:nvPicPr>
        <xdr:cNvPr id="2" name="Picture 1" descr="Wor20F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5750" y="6096000"/>
          <a:ext cx="11600001" cy="16190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educorporatebridge.com/" TargetMode="External"/><Relationship Id="rId2" Type="http://schemas.openxmlformats.org/officeDocument/2006/relationships/hyperlink" Target="mailto:dheeraj@wallstreetmojo.com" TargetMode="External"/><Relationship Id="rId1" Type="http://schemas.openxmlformats.org/officeDocument/2006/relationships/hyperlink" Target="http://www.wallstreetmojo.com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showGridLines="0" tabSelected="1" zoomScaleNormal="100" workbookViewId="0">
      <selection activeCell="A2" sqref="A2"/>
    </sheetView>
  </sheetViews>
  <sheetFormatPr defaultRowHeight="15"/>
  <cols>
    <col min="1" max="1" width="12.5703125" style="258" customWidth="1"/>
    <col min="2" max="2" width="9.140625" style="258"/>
    <col min="3" max="3" width="4.42578125" style="258" customWidth="1"/>
    <col min="4" max="16384" width="9.140625" style="258"/>
  </cols>
  <sheetData>
    <row r="1" spans="1:10" ht="32.25">
      <c r="A1" s="261" t="s">
        <v>197</v>
      </c>
      <c r="B1" s="257"/>
      <c r="C1" s="257"/>
      <c r="D1" s="257"/>
      <c r="E1" s="257"/>
      <c r="F1" s="257"/>
      <c r="G1" s="257"/>
      <c r="H1" s="257"/>
      <c r="I1" s="257"/>
      <c r="J1" s="257"/>
    </row>
    <row r="2" spans="1:10" ht="23.25">
      <c r="A2" s="260" t="s">
        <v>187</v>
      </c>
      <c r="B2" s="257"/>
      <c r="C2" s="257"/>
      <c r="D2" s="257"/>
      <c r="E2" s="257"/>
      <c r="F2" s="257"/>
      <c r="G2" s="257"/>
      <c r="H2" s="257"/>
      <c r="I2" s="257"/>
      <c r="J2" s="257"/>
    </row>
    <row r="3" spans="1:10">
      <c r="A3" s="316" t="s">
        <v>190</v>
      </c>
      <c r="B3" s="263"/>
      <c r="C3" s="263"/>
      <c r="D3" s="263"/>
      <c r="E3" s="263"/>
      <c r="F3" s="263"/>
      <c r="G3" s="263"/>
      <c r="H3" s="263"/>
      <c r="I3" s="263"/>
      <c r="J3" s="263"/>
    </row>
    <row r="4" spans="1:10">
      <c r="A4" s="264" t="s">
        <v>191</v>
      </c>
      <c r="B4" s="265" t="s">
        <v>188</v>
      </c>
      <c r="C4" s="263"/>
      <c r="D4" s="263"/>
      <c r="E4" s="263"/>
      <c r="F4" s="265" t="s">
        <v>189</v>
      </c>
      <c r="G4" s="265"/>
      <c r="H4" s="263"/>
      <c r="I4" s="263"/>
      <c r="J4" s="263"/>
    </row>
    <row r="5" spans="1:10" ht="17.25">
      <c r="A5" s="259"/>
      <c r="B5" s="257"/>
      <c r="C5" s="257"/>
      <c r="D5" s="257"/>
      <c r="E5" s="257"/>
      <c r="F5" s="257"/>
      <c r="G5" s="257"/>
      <c r="H5" s="257"/>
      <c r="I5" s="257"/>
      <c r="J5" s="257"/>
    </row>
    <row r="6" spans="1:10">
      <c r="A6" s="254"/>
      <c r="B6" s="254"/>
      <c r="C6" s="254"/>
      <c r="D6" s="254"/>
      <c r="E6" s="254"/>
      <c r="F6" s="254"/>
      <c r="G6" s="254"/>
      <c r="H6" s="254"/>
      <c r="I6" s="254"/>
      <c r="J6" s="254"/>
    </row>
    <row r="7" spans="1:10">
      <c r="A7" s="254"/>
      <c r="B7" s="256" t="s">
        <v>185</v>
      </c>
      <c r="C7" s="255"/>
      <c r="D7" s="254"/>
      <c r="E7" s="254"/>
      <c r="F7" s="254"/>
      <c r="G7" s="254"/>
      <c r="H7" s="254"/>
      <c r="I7" s="254"/>
      <c r="J7" s="254"/>
    </row>
    <row r="8" spans="1:10">
      <c r="A8" s="254"/>
      <c r="B8" s="254"/>
      <c r="C8" s="255" t="s">
        <v>176</v>
      </c>
      <c r="D8" s="254"/>
      <c r="E8" s="254"/>
      <c r="F8" s="254"/>
      <c r="G8" s="254"/>
      <c r="H8" s="254"/>
      <c r="I8" s="254"/>
      <c r="J8" s="254"/>
    </row>
    <row r="9" spans="1:10">
      <c r="A9" s="254"/>
      <c r="B9" s="254"/>
      <c r="C9" s="255" t="s">
        <v>78</v>
      </c>
      <c r="D9" s="254"/>
      <c r="E9" s="254"/>
      <c r="F9" s="254"/>
      <c r="G9" s="254"/>
      <c r="H9" s="254"/>
      <c r="I9" s="254"/>
      <c r="J9" s="254"/>
    </row>
    <row r="10" spans="1:10">
      <c r="A10" s="254"/>
      <c r="B10" s="254"/>
      <c r="C10" s="255" t="s">
        <v>177</v>
      </c>
      <c r="D10" s="254"/>
      <c r="E10" s="254"/>
      <c r="F10" s="254"/>
      <c r="G10" s="254"/>
      <c r="H10" s="254"/>
      <c r="I10" s="254"/>
      <c r="J10" s="254"/>
    </row>
    <row r="11" spans="1:10">
      <c r="A11" s="254"/>
      <c r="B11" s="254"/>
      <c r="C11" s="255" t="s">
        <v>79</v>
      </c>
      <c r="D11" s="254"/>
      <c r="E11" s="254"/>
      <c r="F11" s="254"/>
      <c r="G11" s="254"/>
      <c r="H11" s="254"/>
      <c r="I11" s="254"/>
      <c r="J11" s="254"/>
    </row>
    <row r="12" spans="1:10">
      <c r="A12" s="254"/>
      <c r="B12" s="254"/>
      <c r="C12" s="255"/>
      <c r="D12" s="254"/>
      <c r="E12" s="254"/>
      <c r="F12" s="254"/>
      <c r="G12" s="254"/>
      <c r="H12" s="254"/>
      <c r="I12" s="254"/>
      <c r="J12" s="254"/>
    </row>
    <row r="13" spans="1:10">
      <c r="A13" s="254"/>
      <c r="B13" s="256" t="s">
        <v>186</v>
      </c>
      <c r="C13" s="255"/>
      <c r="D13" s="254"/>
      <c r="E13" s="254"/>
      <c r="F13" s="254"/>
      <c r="G13" s="254"/>
      <c r="H13" s="254"/>
      <c r="I13" s="254"/>
      <c r="J13" s="254"/>
    </row>
    <row r="14" spans="1:10">
      <c r="A14" s="254"/>
      <c r="B14" s="254"/>
      <c r="C14" s="255" t="s">
        <v>48</v>
      </c>
      <c r="D14" s="254"/>
      <c r="E14" s="254"/>
      <c r="F14" s="254"/>
      <c r="G14" s="254"/>
      <c r="H14" s="254"/>
      <c r="I14" s="254"/>
      <c r="J14" s="254"/>
    </row>
    <row r="15" spans="1:10">
      <c r="A15" s="254"/>
      <c r="B15" s="254"/>
      <c r="C15" s="255" t="s">
        <v>80</v>
      </c>
      <c r="D15" s="254"/>
      <c r="E15" s="254"/>
      <c r="F15" s="254"/>
      <c r="G15" s="254"/>
      <c r="H15" s="254"/>
      <c r="I15" s="254"/>
      <c r="J15" s="254"/>
    </row>
    <row r="16" spans="1:10">
      <c r="A16" s="254"/>
      <c r="B16" s="254"/>
      <c r="C16" s="255" t="s">
        <v>178</v>
      </c>
      <c r="D16" s="254"/>
      <c r="E16" s="254"/>
      <c r="F16" s="254"/>
      <c r="G16" s="254"/>
      <c r="H16" s="254"/>
      <c r="I16" s="254"/>
      <c r="J16" s="254"/>
    </row>
    <row r="17" spans="1:10">
      <c r="A17" s="254"/>
      <c r="B17" s="254"/>
      <c r="C17" s="255" t="s">
        <v>179</v>
      </c>
      <c r="D17" s="254"/>
      <c r="E17" s="254"/>
      <c r="F17" s="254"/>
      <c r="G17" s="254"/>
      <c r="H17" s="254"/>
      <c r="I17" s="254"/>
      <c r="J17" s="254"/>
    </row>
    <row r="18" spans="1:10">
      <c r="A18" s="254"/>
      <c r="B18" s="254"/>
      <c r="C18" s="255" t="s">
        <v>180</v>
      </c>
      <c r="D18" s="254"/>
      <c r="E18" s="254"/>
      <c r="F18" s="254"/>
      <c r="G18" s="254"/>
      <c r="H18" s="254"/>
      <c r="I18" s="254"/>
      <c r="J18" s="254"/>
    </row>
    <row r="19" spans="1:10">
      <c r="A19" s="254"/>
      <c r="B19" s="255"/>
      <c r="C19" s="255" t="s">
        <v>182</v>
      </c>
      <c r="D19" s="254"/>
      <c r="E19" s="254"/>
      <c r="F19" s="254"/>
      <c r="G19" s="254"/>
      <c r="H19" s="254"/>
      <c r="I19" s="254"/>
      <c r="J19" s="254"/>
    </row>
    <row r="20" spans="1:10">
      <c r="A20" s="254"/>
      <c r="B20" s="255"/>
      <c r="C20" s="255"/>
      <c r="D20" s="254"/>
      <c r="E20" s="254"/>
      <c r="F20" s="254"/>
      <c r="G20" s="254"/>
      <c r="H20" s="254"/>
      <c r="I20" s="254"/>
      <c r="J20" s="254"/>
    </row>
    <row r="21" spans="1:10">
      <c r="A21" s="254"/>
      <c r="B21" s="256" t="s">
        <v>83</v>
      </c>
      <c r="C21" s="254"/>
      <c r="D21" s="254"/>
      <c r="E21" s="254"/>
      <c r="F21" s="254"/>
      <c r="G21" s="254"/>
      <c r="H21" s="254"/>
      <c r="I21" s="254"/>
      <c r="J21" s="254"/>
    </row>
    <row r="22" spans="1:10">
      <c r="A22" s="254"/>
      <c r="B22" s="254"/>
      <c r="C22" s="255" t="s">
        <v>183</v>
      </c>
      <c r="D22" s="254"/>
      <c r="E22" s="254"/>
      <c r="F22" s="254"/>
      <c r="G22" s="254"/>
      <c r="H22" s="254"/>
      <c r="I22" s="254"/>
      <c r="J22" s="254"/>
    </row>
    <row r="23" spans="1:10">
      <c r="A23" s="254"/>
      <c r="B23" s="254"/>
      <c r="C23" s="255" t="s">
        <v>181</v>
      </c>
      <c r="D23" s="254"/>
      <c r="E23" s="254"/>
      <c r="F23" s="254"/>
      <c r="G23" s="254"/>
      <c r="H23" s="254"/>
      <c r="I23" s="254"/>
      <c r="J23" s="254"/>
    </row>
    <row r="24" spans="1:10">
      <c r="A24" s="254"/>
      <c r="B24" s="254"/>
      <c r="C24" s="254"/>
      <c r="D24" s="254"/>
      <c r="E24" s="254"/>
      <c r="F24" s="254"/>
      <c r="G24" s="254"/>
      <c r="H24" s="254"/>
      <c r="I24" s="254"/>
      <c r="J24" s="254"/>
    </row>
    <row r="25" spans="1:10">
      <c r="A25" s="169"/>
      <c r="B25" s="254"/>
      <c r="C25" s="254"/>
      <c r="D25" s="254"/>
      <c r="E25" s="254"/>
      <c r="F25" s="254"/>
      <c r="G25" s="254"/>
      <c r="H25" s="254"/>
      <c r="I25" s="254"/>
      <c r="J25" s="254"/>
    </row>
  </sheetData>
  <hyperlinks>
    <hyperlink ref="C8" location="'Quarterly IS'!A1" display="Quarterly IS"/>
    <hyperlink ref="C9" location="IS!A1" display="Income Statement"/>
    <hyperlink ref="C10" location="BS!A1" display="Balance Sheet"/>
    <hyperlink ref="C11" location="CF!A1" display="Cash Flows"/>
    <hyperlink ref="C14" location="Debt!A1" display="Debt"/>
    <hyperlink ref="C15" location="'Working Capital '!A1" display="Working Capital"/>
    <hyperlink ref="C16" location="'Dep Capex '!A1" display="Depreciation Schedule"/>
    <hyperlink ref="C17" location="'Amort Intangible'!A1" display="Amortization Schedule"/>
    <hyperlink ref="C18" location="'Shareholders Equity'!A1" display="Shareholder's Equity"/>
    <hyperlink ref="C23" location="'Option value'!A1" display="Option Value"/>
    <hyperlink ref="C19" location="'Shares Outstanding '!A1" display="Shares Oustanding"/>
    <hyperlink ref="C22" location="'DCF Valuations'!A1" display="DCF Valuation"/>
    <hyperlink ref="B21" location="Index!A1" display="Valuations"/>
    <hyperlink ref="B4" r:id="rId1"/>
    <hyperlink ref="A3" r:id="rId2" display="dheeraj@wallstreetmojo.com"/>
    <hyperlink ref="F4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P105"/>
  <sheetViews>
    <sheetView showGridLines="0" zoomScale="85" zoomScaleNormal="85" workbookViewId="0">
      <pane xSplit="2" ySplit="6" topLeftCell="C7" activePane="bottomRight" state="frozen"/>
      <selection pane="topRight" activeCell="C1" sqref="C1"/>
      <selection pane="bottomLeft" activeCell="A6" sqref="A6"/>
      <selection pane="bottomRight"/>
    </sheetView>
  </sheetViews>
  <sheetFormatPr defaultRowHeight="14.25" outlineLevelRow="1"/>
  <cols>
    <col min="1" max="1" width="2.85546875" style="266" customWidth="1"/>
    <col min="2" max="2" width="68.42578125" style="266" customWidth="1"/>
    <col min="3" max="3" width="12.42578125" style="266" bestFit="1" customWidth="1"/>
    <col min="4" max="4" width="14.28515625" style="266" customWidth="1"/>
    <col min="5" max="5" width="11.7109375" style="266" customWidth="1"/>
    <col min="6" max="6" width="12.28515625" style="266" customWidth="1"/>
    <col min="7" max="10" width="13.7109375" style="266" bestFit="1" customWidth="1"/>
    <col min="11" max="11" width="9.140625" style="266"/>
    <col min="12" max="16384" width="9.140625" style="385"/>
  </cols>
  <sheetData>
    <row r="1" spans="1:11" s="384" customFormat="1" ht="32.25">
      <c r="A1" s="261" t="str">
        <f>Index!A1</f>
        <v>Alibaba IPO</v>
      </c>
      <c r="B1" s="257"/>
      <c r="C1" s="257"/>
      <c r="D1" s="257"/>
      <c r="E1" s="257"/>
      <c r="F1" s="257"/>
      <c r="G1" s="257"/>
      <c r="H1" s="257"/>
      <c r="I1" s="257"/>
      <c r="J1" s="257"/>
      <c r="K1" s="257"/>
    </row>
    <row r="2" spans="1:11" s="384" customFormat="1" ht="23.25">
      <c r="A2" s="260" t="s">
        <v>192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</row>
    <row r="3" spans="1:11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 ht="18">
      <c r="A4" s="71"/>
      <c r="B4" s="3"/>
      <c r="C4" s="421" t="s">
        <v>100</v>
      </c>
      <c r="D4" s="421"/>
      <c r="E4" s="421"/>
      <c r="F4" s="421"/>
      <c r="G4" s="421"/>
      <c r="H4" s="421"/>
      <c r="I4" s="421"/>
      <c r="J4" s="421"/>
      <c r="K4" s="3"/>
    </row>
    <row r="5" spans="1:11" ht="15.75">
      <c r="A5" s="3"/>
      <c r="B5" s="5"/>
      <c r="C5" s="355">
        <v>41090</v>
      </c>
      <c r="D5" s="355">
        <v>41182</v>
      </c>
      <c r="E5" s="355">
        <v>41274</v>
      </c>
      <c r="F5" s="355">
        <v>41364</v>
      </c>
      <c r="G5" s="355">
        <v>41455</v>
      </c>
      <c r="H5" s="355">
        <v>41547</v>
      </c>
      <c r="I5" s="355">
        <v>41639</v>
      </c>
      <c r="J5" s="355">
        <v>41729</v>
      </c>
      <c r="K5" s="3"/>
    </row>
    <row r="6" spans="1:11" ht="15.75" thickBot="1">
      <c r="A6" s="3"/>
      <c r="B6" s="165" t="s">
        <v>217</v>
      </c>
      <c r="C6" s="162">
        <v>2012</v>
      </c>
      <c r="D6" s="162">
        <v>2012</v>
      </c>
      <c r="E6" s="162">
        <v>2012</v>
      </c>
      <c r="F6" s="162">
        <v>2013</v>
      </c>
      <c r="G6" s="162">
        <v>2013</v>
      </c>
      <c r="H6" s="162">
        <v>2013</v>
      </c>
      <c r="I6" s="162">
        <v>2013</v>
      </c>
      <c r="J6" s="162">
        <v>2014</v>
      </c>
      <c r="K6" s="3"/>
    </row>
    <row r="7" spans="1:11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>
      <c r="A8" s="3"/>
      <c r="B8" s="110" t="s">
        <v>198</v>
      </c>
      <c r="C8" s="72">
        <v>5601</v>
      </c>
      <c r="D8" s="72">
        <v>6152</v>
      </c>
      <c r="E8" s="72">
        <v>10172</v>
      </c>
      <c r="F8" s="72">
        <v>7242</v>
      </c>
      <c r="G8" s="72">
        <v>9193</v>
      </c>
      <c r="H8" s="72">
        <v>9213</v>
      </c>
      <c r="I8" s="72">
        <v>16761</v>
      </c>
      <c r="J8" s="62">
        <f>J51</f>
        <v>12570.75</v>
      </c>
      <c r="K8" s="3"/>
    </row>
    <row r="9" spans="1:11">
      <c r="A9" s="3"/>
      <c r="B9" s="110" t="s">
        <v>199</v>
      </c>
      <c r="C9" s="72">
        <v>974</v>
      </c>
      <c r="D9" s="72">
        <v>1049</v>
      </c>
      <c r="E9" s="72">
        <v>1094</v>
      </c>
      <c r="F9" s="72">
        <v>1043</v>
      </c>
      <c r="G9" s="72">
        <v>1117</v>
      </c>
      <c r="H9" s="72">
        <v>1176</v>
      </c>
      <c r="I9" s="72">
        <v>1264</v>
      </c>
      <c r="J9" s="62">
        <f>J54</f>
        <v>1200.8</v>
      </c>
      <c r="K9" s="3"/>
    </row>
    <row r="10" spans="1:11">
      <c r="A10" s="3"/>
      <c r="B10" s="110" t="s">
        <v>200</v>
      </c>
      <c r="C10" s="72">
        <v>155</v>
      </c>
      <c r="D10" s="72">
        <v>164</v>
      </c>
      <c r="E10" s="72">
        <v>165</v>
      </c>
      <c r="F10" s="72">
        <v>166</v>
      </c>
      <c r="G10" s="72">
        <v>174</v>
      </c>
      <c r="H10" s="72">
        <v>190</v>
      </c>
      <c r="I10" s="72">
        <v>196</v>
      </c>
      <c r="J10" s="62">
        <f>J57</f>
        <v>197.96</v>
      </c>
      <c r="K10" s="3"/>
    </row>
    <row r="11" spans="1:11">
      <c r="A11" s="3"/>
      <c r="B11" s="110" t="s">
        <v>201</v>
      </c>
      <c r="C11" s="72">
        <v>63</v>
      </c>
      <c r="D11" s="72">
        <v>92</v>
      </c>
      <c r="E11" s="72">
        <v>162</v>
      </c>
      <c r="F11" s="72">
        <v>223</v>
      </c>
      <c r="G11" s="72">
        <v>294</v>
      </c>
      <c r="H11" s="72">
        <v>371</v>
      </c>
      <c r="I11" s="72">
        <v>524</v>
      </c>
      <c r="J11" s="62">
        <f>J60</f>
        <v>707.40000000000009</v>
      </c>
      <c r="K11" s="3"/>
    </row>
    <row r="12" spans="1:11" ht="15">
      <c r="A12" s="3"/>
      <c r="B12" s="3" t="s">
        <v>52</v>
      </c>
      <c r="C12" s="319">
        <f>SUM(C8:C11)</f>
        <v>6793</v>
      </c>
      <c r="D12" s="319">
        <f t="shared" ref="D12:I12" si="0">SUM(D8:D11)</f>
        <v>7457</v>
      </c>
      <c r="E12" s="319">
        <f t="shared" si="0"/>
        <v>11593</v>
      </c>
      <c r="F12" s="319">
        <f t="shared" si="0"/>
        <v>8674</v>
      </c>
      <c r="G12" s="319">
        <f t="shared" si="0"/>
        <v>10778</v>
      </c>
      <c r="H12" s="319">
        <f t="shared" si="0"/>
        <v>10950</v>
      </c>
      <c r="I12" s="319">
        <f t="shared" si="0"/>
        <v>18745</v>
      </c>
      <c r="J12" s="319">
        <f t="shared" ref="J12" si="1">SUM(J8:J11)</f>
        <v>14676.909999999998</v>
      </c>
      <c r="K12" s="62"/>
    </row>
    <row r="13" spans="1:11">
      <c r="A13" s="3"/>
      <c r="B13" s="3"/>
      <c r="C13" s="72"/>
      <c r="D13" s="163"/>
      <c r="E13" s="163"/>
      <c r="F13" s="163"/>
      <c r="G13" s="163"/>
      <c r="H13" s="62"/>
      <c r="I13" s="62"/>
      <c r="J13" s="62"/>
      <c r="K13" s="62"/>
    </row>
    <row r="14" spans="1:11">
      <c r="A14" s="3"/>
      <c r="B14" s="3" t="s">
        <v>53</v>
      </c>
      <c r="C14" s="72">
        <v>-2158</v>
      </c>
      <c r="D14" s="72">
        <v>-2373</v>
      </c>
      <c r="E14" s="72">
        <v>-2911</v>
      </c>
      <c r="F14" s="72">
        <v>-2277</v>
      </c>
      <c r="G14" s="72">
        <v>-2727</v>
      </c>
      <c r="H14" s="72">
        <v>-3001</v>
      </c>
      <c r="I14" s="72">
        <v>-4171</v>
      </c>
      <c r="J14" s="62">
        <f>-J66</f>
        <v>-3228.9202</v>
      </c>
      <c r="K14" s="62"/>
    </row>
    <row r="15" spans="1:11" ht="15">
      <c r="A15" s="3"/>
      <c r="B15" s="90" t="s">
        <v>54</v>
      </c>
      <c r="C15" s="112">
        <f>C12+C14</f>
        <v>4635</v>
      </c>
      <c r="D15" s="112">
        <f t="shared" ref="D15:I15" si="2">D12+D14</f>
        <v>5084</v>
      </c>
      <c r="E15" s="112">
        <f t="shared" si="2"/>
        <v>8682</v>
      </c>
      <c r="F15" s="112">
        <f t="shared" si="2"/>
        <v>6397</v>
      </c>
      <c r="G15" s="112">
        <f t="shared" si="2"/>
        <v>8051</v>
      </c>
      <c r="H15" s="112">
        <f t="shared" si="2"/>
        <v>7949</v>
      </c>
      <c r="I15" s="112">
        <f t="shared" si="2"/>
        <v>14574</v>
      </c>
      <c r="J15" s="112">
        <f t="shared" ref="J15" si="3">J12+J14</f>
        <v>11447.989799999998</v>
      </c>
      <c r="K15" s="112"/>
    </row>
    <row r="16" spans="1:11">
      <c r="A16" s="3"/>
      <c r="B16" s="3"/>
      <c r="C16" s="62"/>
      <c r="D16" s="62"/>
      <c r="E16" s="62"/>
      <c r="F16" s="62"/>
      <c r="G16" s="62"/>
      <c r="H16" s="3"/>
      <c r="I16" s="3"/>
      <c r="J16" s="3"/>
      <c r="K16" s="3"/>
    </row>
    <row r="17" spans="1:11" ht="15">
      <c r="A17" s="3"/>
      <c r="B17" s="102" t="s">
        <v>55</v>
      </c>
      <c r="C17" s="62"/>
      <c r="D17" s="62"/>
      <c r="E17" s="62"/>
      <c r="F17" s="62"/>
      <c r="G17" s="62"/>
      <c r="H17" s="3"/>
      <c r="I17" s="3"/>
      <c r="J17" s="3"/>
      <c r="K17" s="3"/>
    </row>
    <row r="18" spans="1:11">
      <c r="A18" s="3"/>
      <c r="B18" s="109" t="s">
        <v>202</v>
      </c>
      <c r="C18" s="72">
        <v>-848</v>
      </c>
      <c r="D18" s="72">
        <v>-888</v>
      </c>
      <c r="E18" s="72">
        <v>-1163</v>
      </c>
      <c r="F18" s="72">
        <v>-854</v>
      </c>
      <c r="G18" s="72">
        <v>-1018</v>
      </c>
      <c r="H18" s="72">
        <v>-1168</v>
      </c>
      <c r="I18" s="72">
        <v>-1707</v>
      </c>
      <c r="J18" s="62">
        <f>-J69</f>
        <v>-1320.9219000000001</v>
      </c>
      <c r="K18" s="62"/>
    </row>
    <row r="19" spans="1:11">
      <c r="A19" s="3"/>
      <c r="B19" s="109" t="s">
        <v>203</v>
      </c>
      <c r="C19" s="72">
        <v>-869</v>
      </c>
      <c r="D19" s="72">
        <v>-974</v>
      </c>
      <c r="E19" s="72">
        <v>-1249</v>
      </c>
      <c r="F19" s="72">
        <v>-521</v>
      </c>
      <c r="G19" s="72">
        <v>-713</v>
      </c>
      <c r="H19" s="72">
        <v>-657</v>
      </c>
      <c r="I19" s="72">
        <v>-1897</v>
      </c>
      <c r="J19" s="62">
        <f>-J72</f>
        <v>-1467.691</v>
      </c>
      <c r="K19" s="62"/>
    </row>
    <row r="20" spans="1:11">
      <c r="A20" s="3"/>
      <c r="B20" s="109" t="s">
        <v>204</v>
      </c>
      <c r="C20" s="72">
        <v>-537</v>
      </c>
      <c r="D20" s="72">
        <v>-804</v>
      </c>
      <c r="E20" s="72">
        <v>-1003</v>
      </c>
      <c r="F20" s="72">
        <v>-545</v>
      </c>
      <c r="G20" s="72">
        <v>-865</v>
      </c>
      <c r="H20" s="72">
        <v>-793</v>
      </c>
      <c r="I20" s="72">
        <v>-2046</v>
      </c>
      <c r="J20" s="62">
        <f>-J75</f>
        <v>-1614.4601</v>
      </c>
      <c r="K20" s="62"/>
    </row>
    <row r="21" spans="1:11">
      <c r="A21" s="3"/>
      <c r="B21" s="109" t="s">
        <v>205</v>
      </c>
      <c r="C21" s="72"/>
      <c r="D21" s="72"/>
      <c r="E21" s="72"/>
      <c r="F21" s="72"/>
      <c r="G21" s="72"/>
      <c r="H21" s="62"/>
      <c r="I21" s="62"/>
      <c r="J21" s="62"/>
      <c r="K21" s="62"/>
    </row>
    <row r="22" spans="1:11">
      <c r="A22" s="3"/>
      <c r="B22" s="109" t="s">
        <v>206</v>
      </c>
      <c r="C22" s="72" t="s">
        <v>208</v>
      </c>
      <c r="D22" s="72">
        <v>-3487</v>
      </c>
      <c r="E22" s="72">
        <v>0</v>
      </c>
      <c r="F22" s="72">
        <v>0</v>
      </c>
      <c r="G22" s="72">
        <v>0</v>
      </c>
      <c r="H22" s="62">
        <v>0</v>
      </c>
      <c r="I22" s="62">
        <v>0</v>
      </c>
      <c r="J22" s="62">
        <v>0</v>
      </c>
      <c r="K22" s="62"/>
    </row>
    <row r="23" spans="1:11">
      <c r="A23" s="3"/>
      <c r="B23" s="109" t="s">
        <v>207</v>
      </c>
      <c r="C23" s="72"/>
      <c r="D23" s="72"/>
      <c r="E23" s="72"/>
      <c r="F23" s="72"/>
      <c r="G23" s="72"/>
      <c r="H23" s="62"/>
      <c r="I23" s="62"/>
      <c r="J23" s="62"/>
      <c r="K23" s="62"/>
    </row>
    <row r="24" spans="1:11" ht="15">
      <c r="A24" s="3"/>
      <c r="B24" s="90" t="s">
        <v>56</v>
      </c>
      <c r="C24" s="356">
        <v>-4448</v>
      </c>
      <c r="D24" s="356">
        <v>-8563</v>
      </c>
      <c r="E24" s="356">
        <v>-6533</v>
      </c>
      <c r="F24" s="356">
        <v>-4222</v>
      </c>
      <c r="G24" s="356">
        <v>-5358</v>
      </c>
      <c r="H24" s="356">
        <v>-5702</v>
      </c>
      <c r="I24" s="356">
        <v>-9944</v>
      </c>
      <c r="J24" s="356">
        <f>SUM(J18:J20)+J14</f>
        <v>-7631.9932000000008</v>
      </c>
      <c r="K24" s="112"/>
    </row>
    <row r="25" spans="1:11">
      <c r="A25" s="3"/>
      <c r="B25" s="3"/>
      <c r="C25" s="62"/>
      <c r="D25" s="62"/>
      <c r="E25" s="3"/>
      <c r="F25" s="3"/>
      <c r="G25" s="3"/>
      <c r="H25" s="3"/>
      <c r="I25" s="3"/>
      <c r="J25" s="3"/>
      <c r="K25" s="3"/>
    </row>
    <row r="26" spans="1:11">
      <c r="A26" s="3"/>
      <c r="B26" s="3"/>
      <c r="C26" s="62"/>
      <c r="D26" s="62"/>
      <c r="E26" s="3"/>
      <c r="F26" s="3"/>
      <c r="G26" s="3"/>
      <c r="H26" s="3"/>
      <c r="I26" s="3"/>
      <c r="J26" s="3"/>
      <c r="K26" s="3"/>
    </row>
    <row r="27" spans="1:11" ht="15">
      <c r="A27" s="3"/>
      <c r="B27" s="90" t="s">
        <v>294</v>
      </c>
      <c r="C27" s="112">
        <f>C12+C24</f>
        <v>2345</v>
      </c>
      <c r="D27" s="112">
        <f t="shared" ref="D27:I27" si="4">D12+D24</f>
        <v>-1106</v>
      </c>
      <c r="E27" s="112">
        <f t="shared" si="4"/>
        <v>5060</v>
      </c>
      <c r="F27" s="112">
        <f t="shared" si="4"/>
        <v>4452</v>
      </c>
      <c r="G27" s="112">
        <f t="shared" si="4"/>
        <v>5420</v>
      </c>
      <c r="H27" s="112">
        <f t="shared" si="4"/>
        <v>5248</v>
      </c>
      <c r="I27" s="112">
        <f t="shared" si="4"/>
        <v>8801</v>
      </c>
      <c r="J27" s="112">
        <f t="shared" ref="J27" si="5">J12+J24</f>
        <v>7044.9167999999972</v>
      </c>
      <c r="K27" s="112"/>
    </row>
    <row r="28" spans="1:11">
      <c r="A28" s="3"/>
      <c r="B28" s="3"/>
      <c r="C28" s="62"/>
      <c r="D28" s="62"/>
      <c r="E28" s="62"/>
      <c r="F28" s="62"/>
      <c r="G28" s="62"/>
      <c r="H28" s="3"/>
      <c r="I28" s="3"/>
      <c r="J28" s="3"/>
      <c r="K28" s="3"/>
    </row>
    <row r="29" spans="1:11" hidden="1" outlineLevel="1">
      <c r="A29" s="3"/>
      <c r="B29" s="3" t="s">
        <v>209</v>
      </c>
      <c r="C29" s="72"/>
      <c r="D29" s="72"/>
      <c r="E29" s="72"/>
      <c r="F29" s="72"/>
      <c r="G29" s="72"/>
      <c r="H29" s="164"/>
      <c r="I29" s="164"/>
      <c r="J29" s="164"/>
      <c r="K29" s="164"/>
    </row>
    <row r="30" spans="1:11" hidden="1" outlineLevel="1">
      <c r="A30" s="3"/>
      <c r="B30" s="3" t="s">
        <v>210</v>
      </c>
      <c r="C30" s="72"/>
      <c r="D30" s="72"/>
      <c r="E30" s="72"/>
      <c r="F30" s="72"/>
      <c r="G30" s="72"/>
      <c r="H30" s="164"/>
      <c r="I30" s="164"/>
      <c r="J30" s="164"/>
      <c r="K30" s="164"/>
    </row>
    <row r="31" spans="1:11" hidden="1" outlineLevel="1">
      <c r="A31" s="3"/>
      <c r="B31" s="3" t="s">
        <v>57</v>
      </c>
      <c r="C31" s="72"/>
      <c r="D31" s="72"/>
      <c r="E31" s="72"/>
      <c r="F31" s="72"/>
      <c r="G31" s="72"/>
      <c r="H31" s="99"/>
      <c r="I31" s="99"/>
      <c r="J31" s="99"/>
      <c r="K31" s="99"/>
    </row>
    <row r="32" spans="1:11" hidden="1" outlineLevel="1">
      <c r="A32" s="3"/>
      <c r="B32" s="3"/>
      <c r="C32" s="72"/>
      <c r="D32" s="72"/>
      <c r="E32" s="72"/>
      <c r="F32" s="72"/>
      <c r="G32" s="72"/>
      <c r="H32" s="3"/>
      <c r="I32" s="3"/>
      <c r="J32" s="3"/>
      <c r="K32" s="3"/>
    </row>
    <row r="33" spans="1:11" hidden="1" outlineLevel="1">
      <c r="A33" s="3"/>
      <c r="B33" s="43" t="s">
        <v>58</v>
      </c>
      <c r="C33" s="72"/>
      <c r="D33" s="72"/>
      <c r="E33" s="72"/>
      <c r="F33" s="72"/>
      <c r="G33" s="72"/>
      <c r="H33" s="104"/>
      <c r="I33" s="104"/>
      <c r="J33" s="104"/>
      <c r="K33" s="104"/>
    </row>
    <row r="34" spans="1:11" hidden="1" outlineLevel="1">
      <c r="A34" s="3"/>
      <c r="B34" s="43" t="s">
        <v>211</v>
      </c>
      <c r="C34" s="72"/>
      <c r="D34" s="72"/>
      <c r="E34" s="72"/>
      <c r="F34" s="72"/>
      <c r="G34" s="72"/>
      <c r="H34" s="104"/>
      <c r="I34" s="104"/>
      <c r="J34" s="104"/>
      <c r="K34" s="104"/>
    </row>
    <row r="35" spans="1:11" hidden="1" outlineLevel="1">
      <c r="A35" s="3"/>
      <c r="B35" s="3" t="s">
        <v>212</v>
      </c>
      <c r="C35" s="72"/>
      <c r="D35" s="72"/>
      <c r="E35" s="72"/>
      <c r="F35" s="72"/>
      <c r="G35" s="72"/>
      <c r="H35" s="6"/>
      <c r="I35" s="3"/>
      <c r="J35" s="3"/>
      <c r="K35" s="3"/>
    </row>
    <row r="36" spans="1:11" ht="15.75" hidden="1" outlineLevel="1" thickBot="1">
      <c r="A36" s="3"/>
      <c r="B36" s="69" t="s">
        <v>213</v>
      </c>
      <c r="C36" s="113"/>
      <c r="D36" s="113"/>
      <c r="E36" s="113"/>
      <c r="F36" s="113"/>
      <c r="G36" s="113"/>
      <c r="H36" s="113"/>
      <c r="I36" s="113"/>
      <c r="J36" s="113"/>
      <c r="K36" s="113"/>
    </row>
    <row r="37" spans="1:11" ht="15" hidden="1" outlineLevel="1">
      <c r="A37" s="3"/>
      <c r="B37" s="43" t="s">
        <v>214</v>
      </c>
      <c r="C37" s="72"/>
      <c r="D37" s="72"/>
      <c r="E37" s="72"/>
      <c r="F37" s="72"/>
      <c r="G37" s="72"/>
      <c r="H37" s="320"/>
      <c r="I37" s="320"/>
      <c r="J37" s="320"/>
      <c r="K37" s="320"/>
    </row>
    <row r="38" spans="1:11" ht="15" hidden="1" outlineLevel="1">
      <c r="A38" s="3"/>
      <c r="B38" s="43" t="s">
        <v>215</v>
      </c>
      <c r="C38" s="320"/>
      <c r="D38" s="320"/>
      <c r="E38" s="320"/>
      <c r="F38" s="320"/>
      <c r="G38" s="320"/>
      <c r="H38" s="320"/>
      <c r="I38" s="320"/>
      <c r="J38" s="320"/>
      <c r="K38" s="320"/>
    </row>
    <row r="39" spans="1:11" ht="15" hidden="1" outlineLevel="1">
      <c r="A39" s="3"/>
      <c r="B39" s="111"/>
      <c r="C39" s="320"/>
      <c r="D39" s="320"/>
      <c r="E39" s="320"/>
      <c r="F39" s="320"/>
      <c r="G39" s="320"/>
      <c r="H39" s="320"/>
      <c r="I39" s="320"/>
      <c r="J39" s="320"/>
      <c r="K39" s="320"/>
    </row>
    <row r="40" spans="1:11" hidden="1" outlineLevel="1">
      <c r="A40" s="3"/>
      <c r="B40" s="3" t="s">
        <v>59</v>
      </c>
      <c r="C40" s="72"/>
      <c r="D40" s="72"/>
      <c r="E40" s="72"/>
      <c r="F40" s="72"/>
      <c r="G40" s="72"/>
      <c r="H40" s="3"/>
      <c r="I40" s="3"/>
      <c r="J40" s="3"/>
      <c r="K40" s="3"/>
    </row>
    <row r="41" spans="1:11" hidden="1" outlineLevel="1">
      <c r="A41" s="3"/>
      <c r="B41" s="3" t="s">
        <v>216</v>
      </c>
      <c r="C41" s="72"/>
      <c r="D41" s="72"/>
      <c r="E41" s="72"/>
      <c r="F41" s="72"/>
      <c r="G41" s="72"/>
      <c r="H41" s="3"/>
      <c r="I41" s="3"/>
      <c r="J41" s="3"/>
      <c r="K41" s="3"/>
    </row>
    <row r="42" spans="1:11" ht="15" collapsed="1">
      <c r="A42" s="3"/>
      <c r="B42" s="321" t="s">
        <v>60</v>
      </c>
      <c r="C42" s="357">
        <v>1722</v>
      </c>
      <c r="D42" s="357">
        <v>-1560</v>
      </c>
      <c r="E42" s="357">
        <v>4045</v>
      </c>
      <c r="F42" s="357">
        <v>4197</v>
      </c>
      <c r="G42" s="357">
        <v>4384</v>
      </c>
      <c r="H42" s="357">
        <v>4883</v>
      </c>
      <c r="I42" s="357">
        <v>8266</v>
      </c>
      <c r="J42" s="357"/>
      <c r="K42" s="114"/>
    </row>
    <row r="43" spans="1:11">
      <c r="A43" s="3"/>
      <c r="B43" s="3"/>
      <c r="C43" s="62"/>
      <c r="D43" s="62"/>
      <c r="E43" s="62"/>
      <c r="F43" s="62"/>
      <c r="G43" s="62"/>
      <c r="H43" s="3"/>
      <c r="I43" s="3"/>
      <c r="J43" s="3"/>
      <c r="K43" s="3"/>
    </row>
    <row r="44" spans="1:11">
      <c r="A44" s="3"/>
      <c r="B44" s="3" t="s">
        <v>295</v>
      </c>
      <c r="C44" s="72">
        <v>279</v>
      </c>
      <c r="D44" s="72">
        <v>462</v>
      </c>
      <c r="E44" s="72">
        <v>293</v>
      </c>
      <c r="F44" s="72">
        <v>225</v>
      </c>
      <c r="G44" s="72">
        <v>396</v>
      </c>
      <c r="H44" s="358">
        <v>864</v>
      </c>
      <c r="I44" s="358">
        <v>659</v>
      </c>
      <c r="J44" s="358"/>
      <c r="K44" s="3"/>
    </row>
    <row r="45" spans="1:11">
      <c r="A45" s="3"/>
      <c r="B45" s="3"/>
      <c r="C45" s="62"/>
      <c r="D45" s="62"/>
      <c r="E45" s="62"/>
      <c r="F45" s="62"/>
      <c r="G45" s="62"/>
      <c r="H45" s="3"/>
      <c r="I45" s="3"/>
      <c r="J45" s="3"/>
      <c r="K45" s="3"/>
    </row>
    <row r="46" spans="1:11">
      <c r="A46" s="3"/>
      <c r="B46" s="3"/>
      <c r="C46" s="62"/>
      <c r="D46" s="62"/>
      <c r="E46" s="62"/>
      <c r="F46" s="62"/>
      <c r="G46" s="62"/>
      <c r="H46" s="3"/>
      <c r="I46" s="3"/>
      <c r="J46" s="3"/>
      <c r="K46" s="3"/>
    </row>
    <row r="47" spans="1:11" ht="15">
      <c r="A47" s="3"/>
      <c r="B47" s="103" t="s">
        <v>103</v>
      </c>
      <c r="C47" s="3"/>
      <c r="D47" s="3"/>
      <c r="E47" s="3"/>
      <c r="F47" s="3"/>
      <c r="G47" s="3"/>
      <c r="H47" s="3"/>
      <c r="I47" s="3"/>
      <c r="J47" s="3"/>
      <c r="K47" s="3"/>
    </row>
    <row r="48" spans="1:11" ht="15">
      <c r="A48" s="3"/>
      <c r="B48" s="103"/>
      <c r="C48" s="3"/>
      <c r="D48" s="3"/>
      <c r="E48" s="3"/>
      <c r="F48" s="3"/>
      <c r="G48" s="3"/>
      <c r="H48" s="3"/>
      <c r="I48" s="3"/>
      <c r="J48" s="3"/>
      <c r="K48" s="3"/>
    </row>
    <row r="49" spans="1:16" ht="15">
      <c r="A49" s="3"/>
      <c r="B49" s="103" t="s">
        <v>52</v>
      </c>
      <c r="C49" s="3"/>
      <c r="D49" s="3"/>
      <c r="E49" s="3"/>
      <c r="F49" s="3"/>
      <c r="G49" s="3"/>
      <c r="H49" s="3"/>
      <c r="I49" s="3"/>
      <c r="J49" s="3"/>
      <c r="K49" s="3"/>
    </row>
    <row r="50" spans="1:16" ht="15">
      <c r="A50" s="3"/>
      <c r="B50" s="103"/>
      <c r="C50" s="3"/>
      <c r="D50" s="3"/>
      <c r="E50" s="3"/>
      <c r="F50" s="3"/>
      <c r="G50" s="3"/>
      <c r="H50" s="3"/>
      <c r="I50" s="3"/>
      <c r="J50" s="3"/>
      <c r="K50" s="3"/>
    </row>
    <row r="51" spans="1:16" ht="15">
      <c r="A51" s="3"/>
      <c r="B51" s="102" t="s">
        <v>198</v>
      </c>
      <c r="C51" s="13">
        <f>C8</f>
        <v>5601</v>
      </c>
      <c r="D51" s="13">
        <f>D8</f>
        <v>6152</v>
      </c>
      <c r="E51" s="13">
        <f t="shared" ref="E51:I51" si="6">E8</f>
        <v>10172</v>
      </c>
      <c r="F51" s="13">
        <f t="shared" si="6"/>
        <v>7242</v>
      </c>
      <c r="G51" s="13">
        <f t="shared" si="6"/>
        <v>9193</v>
      </c>
      <c r="H51" s="13">
        <f t="shared" si="6"/>
        <v>9213</v>
      </c>
      <c r="I51" s="13">
        <f t="shared" si="6"/>
        <v>16761</v>
      </c>
      <c r="J51" s="62">
        <f>I51*(1+J52)</f>
        <v>12570.75</v>
      </c>
      <c r="K51" s="3"/>
    </row>
    <row r="52" spans="1:16">
      <c r="A52" s="3"/>
      <c r="B52" s="360" t="s">
        <v>317</v>
      </c>
      <c r="C52" s="3"/>
      <c r="D52" s="107">
        <f>D51/C51-1</f>
        <v>9.837529012676316E-2</v>
      </c>
      <c r="E52" s="107">
        <f t="shared" ref="E52" si="7">E51/D51-1</f>
        <v>0.6534460338101431</v>
      </c>
      <c r="F52" s="107">
        <f t="shared" ref="F52" si="8">F51/E51-1</f>
        <v>-0.28804561541486429</v>
      </c>
      <c r="G52" s="107">
        <f t="shared" ref="G52" si="9">G51/F51-1</f>
        <v>0.26940071803369237</v>
      </c>
      <c r="H52" s="107">
        <f t="shared" ref="H52" si="10">H51/G51-1</f>
        <v>2.1755683672359805E-3</v>
      </c>
      <c r="I52" s="107">
        <f t="shared" ref="I52" si="11">I51/H51-1</f>
        <v>0.81927710843373491</v>
      </c>
      <c r="J52" s="396">
        <v>-0.25</v>
      </c>
      <c r="K52" s="3"/>
    </row>
    <row r="53" spans="1:16">
      <c r="A53" s="3"/>
      <c r="B53" s="360"/>
      <c r="C53" s="3"/>
      <c r="D53" s="107"/>
      <c r="E53" s="107"/>
      <c r="F53" s="107"/>
      <c r="G53" s="107"/>
      <c r="H53" s="107"/>
      <c r="I53" s="107"/>
      <c r="J53" s="3"/>
      <c r="K53" s="3"/>
    </row>
    <row r="54" spans="1:16">
      <c r="A54" s="3"/>
      <c r="B54" s="3" t="s">
        <v>199</v>
      </c>
      <c r="C54" s="13">
        <f>C9</f>
        <v>974</v>
      </c>
      <c r="D54" s="13">
        <f>D9</f>
        <v>1049</v>
      </c>
      <c r="E54" s="13">
        <f t="shared" ref="E54:I54" si="12">E9</f>
        <v>1094</v>
      </c>
      <c r="F54" s="13">
        <f t="shared" si="12"/>
        <v>1043</v>
      </c>
      <c r="G54" s="13">
        <f t="shared" si="12"/>
        <v>1117</v>
      </c>
      <c r="H54" s="13">
        <f t="shared" si="12"/>
        <v>1176</v>
      </c>
      <c r="I54" s="13">
        <f t="shared" si="12"/>
        <v>1264</v>
      </c>
      <c r="J54" s="62">
        <f>I54*(1+J55)</f>
        <v>1200.8</v>
      </c>
      <c r="K54" s="3"/>
    </row>
    <row r="55" spans="1:16">
      <c r="A55" s="3"/>
      <c r="B55" s="360" t="s">
        <v>317</v>
      </c>
      <c r="C55" s="3"/>
      <c r="D55" s="107">
        <f>D54/C54-1</f>
        <v>7.7002053388090408E-2</v>
      </c>
      <c r="E55" s="107">
        <f t="shared" ref="E55" si="13">E54/D54-1</f>
        <v>4.2897998093422318E-2</v>
      </c>
      <c r="F55" s="107">
        <f t="shared" ref="F55" si="14">F54/E54-1</f>
        <v>-4.6617915904936025E-2</v>
      </c>
      <c r="G55" s="107">
        <f t="shared" ref="G55" si="15">G54/F54-1</f>
        <v>7.0949185043144736E-2</v>
      </c>
      <c r="H55" s="107">
        <f t="shared" ref="H55" si="16">H54/G54-1</f>
        <v>5.2820053715308957E-2</v>
      </c>
      <c r="I55" s="107">
        <f t="shared" ref="I55" si="17">I54/H54-1</f>
        <v>7.4829931972789199E-2</v>
      </c>
      <c r="J55" s="396">
        <v>-0.05</v>
      </c>
      <c r="K55" s="3"/>
    </row>
    <row r="56" spans="1:16">
      <c r="A56" s="3"/>
      <c r="B56" s="360"/>
      <c r="C56" s="3"/>
      <c r="D56" s="107"/>
      <c r="E56" s="107"/>
      <c r="F56" s="107"/>
      <c r="G56" s="107"/>
      <c r="H56" s="107"/>
      <c r="I56" s="107"/>
      <c r="J56" s="3"/>
      <c r="K56" s="3"/>
    </row>
    <row r="57" spans="1:16">
      <c r="A57" s="3"/>
      <c r="B57" s="3" t="s">
        <v>300</v>
      </c>
      <c r="C57" s="13">
        <f>C10</f>
        <v>155</v>
      </c>
      <c r="D57" s="13">
        <f t="shared" ref="D57:I57" si="18">D10</f>
        <v>164</v>
      </c>
      <c r="E57" s="13">
        <f t="shared" si="18"/>
        <v>165</v>
      </c>
      <c r="F57" s="13">
        <f t="shared" si="18"/>
        <v>166</v>
      </c>
      <c r="G57" s="13">
        <f t="shared" si="18"/>
        <v>174</v>
      </c>
      <c r="H57" s="13">
        <f t="shared" si="18"/>
        <v>190</v>
      </c>
      <c r="I57" s="13">
        <f t="shared" si="18"/>
        <v>196</v>
      </c>
      <c r="J57" s="62">
        <f>I57*(1+J58)</f>
        <v>197.96</v>
      </c>
      <c r="K57" s="62"/>
      <c r="L57" s="386"/>
      <c r="M57" s="386"/>
      <c r="N57" s="386"/>
      <c r="O57" s="386"/>
      <c r="P57" s="386"/>
    </row>
    <row r="58" spans="1:16">
      <c r="A58" s="3"/>
      <c r="B58" s="360" t="s">
        <v>317</v>
      </c>
      <c r="C58" s="3"/>
      <c r="D58" s="107">
        <f>D57/C57-1</f>
        <v>5.8064516129032295E-2</v>
      </c>
      <c r="E58" s="107">
        <f t="shared" ref="E58:I58" si="19">E57/D57-1</f>
        <v>6.0975609756097615E-3</v>
      </c>
      <c r="F58" s="107">
        <f t="shared" si="19"/>
        <v>6.0606060606060996E-3</v>
      </c>
      <c r="G58" s="107">
        <f t="shared" si="19"/>
        <v>4.8192771084337283E-2</v>
      </c>
      <c r="H58" s="392">
        <f t="shared" si="19"/>
        <v>9.1954022988505857E-2</v>
      </c>
      <c r="I58" s="392">
        <f t="shared" si="19"/>
        <v>3.1578947368421151E-2</v>
      </c>
      <c r="J58" s="396">
        <v>0.01</v>
      </c>
      <c r="K58" s="393"/>
      <c r="L58" s="387"/>
      <c r="M58" s="387"/>
      <c r="N58" s="387"/>
      <c r="O58" s="387"/>
      <c r="P58" s="387"/>
    </row>
    <row r="59" spans="1:16">
      <c r="A59" s="3"/>
      <c r="B59" s="360"/>
      <c r="C59" s="3"/>
      <c r="D59" s="3"/>
      <c r="E59" s="3"/>
      <c r="F59" s="359"/>
      <c r="G59" s="359"/>
      <c r="H59" s="393"/>
      <c r="I59" s="393"/>
      <c r="J59" s="393"/>
      <c r="K59" s="393"/>
      <c r="L59" s="387"/>
      <c r="M59" s="387"/>
      <c r="N59" s="387"/>
      <c r="O59" s="387"/>
      <c r="P59" s="387"/>
    </row>
    <row r="60" spans="1:16">
      <c r="A60" s="3"/>
      <c r="B60" s="3" t="s">
        <v>301</v>
      </c>
      <c r="C60" s="13">
        <f>C11</f>
        <v>63</v>
      </c>
      <c r="D60" s="13">
        <f t="shared" ref="D60:I60" si="20">D11</f>
        <v>92</v>
      </c>
      <c r="E60" s="13">
        <f t="shared" si="20"/>
        <v>162</v>
      </c>
      <c r="F60" s="13">
        <f t="shared" si="20"/>
        <v>223</v>
      </c>
      <c r="G60" s="13">
        <f t="shared" si="20"/>
        <v>294</v>
      </c>
      <c r="H60" s="13">
        <f t="shared" si="20"/>
        <v>371</v>
      </c>
      <c r="I60" s="13">
        <f t="shared" si="20"/>
        <v>524</v>
      </c>
      <c r="J60" s="62">
        <f>I60*(1+J61)</f>
        <v>707.40000000000009</v>
      </c>
      <c r="K60" s="62"/>
      <c r="L60" s="386"/>
      <c r="M60" s="386"/>
      <c r="N60" s="386"/>
      <c r="O60" s="386"/>
      <c r="P60" s="386"/>
    </row>
    <row r="61" spans="1:16">
      <c r="A61" s="3"/>
      <c r="B61" s="360" t="s">
        <v>317</v>
      </c>
      <c r="C61" s="3"/>
      <c r="D61" s="107">
        <f>D60/C60-1</f>
        <v>0.46031746031746024</v>
      </c>
      <c r="E61" s="107">
        <f t="shared" ref="E61" si="21">E60/D60-1</f>
        <v>0.76086956521739135</v>
      </c>
      <c r="F61" s="107">
        <f t="shared" ref="F61" si="22">F60/E60-1</f>
        <v>0.37654320987654311</v>
      </c>
      <c r="G61" s="107">
        <f t="shared" ref="G61" si="23">G60/F60-1</f>
        <v>0.31838565022421528</v>
      </c>
      <c r="H61" s="107">
        <f t="shared" ref="H61" si="24">H60/G60-1</f>
        <v>0.26190476190476186</v>
      </c>
      <c r="I61" s="107">
        <f t="shared" ref="I61" si="25">I60/H60-1</f>
        <v>0.41239892183288407</v>
      </c>
      <c r="J61" s="396">
        <v>0.35</v>
      </c>
      <c r="K61" s="393"/>
      <c r="L61" s="387"/>
      <c r="M61" s="387"/>
      <c r="N61" s="387"/>
      <c r="O61" s="387"/>
      <c r="P61" s="387"/>
    </row>
    <row r="62" spans="1:16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</row>
    <row r="63" spans="1:16" ht="15">
      <c r="A63" s="3"/>
      <c r="B63" s="88" t="s">
        <v>18</v>
      </c>
      <c r="C63" s="381">
        <f>C60+C57+C54+C51</f>
        <v>6793</v>
      </c>
      <c r="D63" s="381">
        <f t="shared" ref="D63:J63" si="26">D60+D57+D54+D51</f>
        <v>7457</v>
      </c>
      <c r="E63" s="381">
        <f t="shared" si="26"/>
        <v>11593</v>
      </c>
      <c r="F63" s="381">
        <f t="shared" si="26"/>
        <v>8674</v>
      </c>
      <c r="G63" s="381">
        <f t="shared" si="26"/>
        <v>10778</v>
      </c>
      <c r="H63" s="381">
        <f t="shared" si="26"/>
        <v>10950</v>
      </c>
      <c r="I63" s="381">
        <f t="shared" si="26"/>
        <v>18745</v>
      </c>
      <c r="J63" s="381">
        <f t="shared" si="26"/>
        <v>14676.91</v>
      </c>
      <c r="K63" s="112"/>
      <c r="L63" s="388"/>
      <c r="M63" s="388"/>
      <c r="N63" s="388"/>
      <c r="O63" s="388"/>
      <c r="P63" s="388"/>
    </row>
    <row r="64" spans="1:16">
      <c r="A64" s="3"/>
      <c r="B64" s="360" t="s">
        <v>316</v>
      </c>
      <c r="C64" s="3"/>
      <c r="D64" s="3"/>
      <c r="E64" s="3"/>
      <c r="F64" s="359"/>
      <c r="G64" s="359"/>
      <c r="H64" s="359"/>
      <c r="I64" s="359"/>
      <c r="J64" s="359"/>
      <c r="K64" s="359"/>
      <c r="L64" s="389"/>
      <c r="M64" s="389"/>
      <c r="N64" s="389"/>
      <c r="O64" s="389"/>
      <c r="P64" s="389"/>
    </row>
    <row r="65" spans="1:16" ht="15">
      <c r="A65" s="3"/>
      <c r="B65" s="103"/>
      <c r="C65" s="3"/>
      <c r="D65" s="3"/>
      <c r="E65" s="13"/>
      <c r="F65" s="13"/>
      <c r="G65" s="13"/>
      <c r="H65" s="3"/>
      <c r="I65" s="3"/>
      <c r="J65" s="6"/>
      <c r="K65" s="3"/>
    </row>
    <row r="66" spans="1:16">
      <c r="A66" s="3"/>
      <c r="B66" s="3" t="s">
        <v>53</v>
      </c>
      <c r="C66" s="13">
        <f>-C14</f>
        <v>2158</v>
      </c>
      <c r="D66" s="13">
        <f t="shared" ref="D66:I66" si="27">-D14</f>
        <v>2373</v>
      </c>
      <c r="E66" s="13">
        <f t="shared" si="27"/>
        <v>2911</v>
      </c>
      <c r="F66" s="13">
        <f t="shared" si="27"/>
        <v>2277</v>
      </c>
      <c r="G66" s="13">
        <f t="shared" si="27"/>
        <v>2727</v>
      </c>
      <c r="H66" s="13">
        <f t="shared" si="27"/>
        <v>3001</v>
      </c>
      <c r="I66" s="13">
        <f t="shared" si="27"/>
        <v>4171</v>
      </c>
      <c r="J66" s="13">
        <f>J63*J67</f>
        <v>3228.9202</v>
      </c>
      <c r="K66" s="13"/>
      <c r="L66" s="390"/>
      <c r="M66" s="390"/>
      <c r="N66" s="390"/>
      <c r="O66" s="390"/>
      <c r="P66" s="390"/>
    </row>
    <row r="67" spans="1:16">
      <c r="A67" s="3"/>
      <c r="B67" s="110" t="s">
        <v>75</v>
      </c>
      <c r="C67" s="107">
        <f>C66/C12</f>
        <v>0.31767996466951276</v>
      </c>
      <c r="D67" s="107">
        <f t="shared" ref="D67:I67" si="28">D66/D12</f>
        <v>0.31822448705913908</v>
      </c>
      <c r="E67" s="107">
        <f t="shared" si="28"/>
        <v>0.25109980160441647</v>
      </c>
      <c r="F67" s="107">
        <f t="shared" si="28"/>
        <v>0.26250864652985934</v>
      </c>
      <c r="G67" s="107">
        <f t="shared" si="28"/>
        <v>0.25301540174429393</v>
      </c>
      <c r="H67" s="107">
        <f t="shared" si="28"/>
        <v>0.27406392694063925</v>
      </c>
      <c r="I67" s="107">
        <f t="shared" si="28"/>
        <v>0.22251267004534542</v>
      </c>
      <c r="J67" s="397">
        <v>0.22</v>
      </c>
      <c r="K67" s="394"/>
      <c r="L67" s="391"/>
      <c r="M67" s="391"/>
      <c r="N67" s="391"/>
      <c r="O67" s="391"/>
      <c r="P67" s="391"/>
    </row>
    <row r="68" spans="1:16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</row>
    <row r="69" spans="1:16">
      <c r="A69" s="3"/>
      <c r="B69" s="34" t="s">
        <v>202</v>
      </c>
      <c r="C69" s="13">
        <f>-C18</f>
        <v>848</v>
      </c>
      <c r="D69" s="13">
        <f t="shared" ref="D69:I69" si="29">-D18</f>
        <v>888</v>
      </c>
      <c r="E69" s="13">
        <f t="shared" si="29"/>
        <v>1163</v>
      </c>
      <c r="F69" s="13">
        <f t="shared" si="29"/>
        <v>854</v>
      </c>
      <c r="G69" s="13">
        <f t="shared" si="29"/>
        <v>1018</v>
      </c>
      <c r="H69" s="13">
        <f t="shared" si="29"/>
        <v>1168</v>
      </c>
      <c r="I69" s="13">
        <f t="shared" si="29"/>
        <v>1707</v>
      </c>
      <c r="J69" s="13">
        <f>J70*J63</f>
        <v>1320.9219000000001</v>
      </c>
      <c r="K69" s="13"/>
      <c r="L69" s="390"/>
      <c r="M69" s="390"/>
      <c r="N69" s="390"/>
      <c r="O69" s="390"/>
      <c r="P69" s="390"/>
    </row>
    <row r="70" spans="1:16">
      <c r="A70" s="3"/>
      <c r="B70" s="110" t="s">
        <v>75</v>
      </c>
      <c r="C70" s="107">
        <f>C69/C12</f>
        <v>0.1248343883409392</v>
      </c>
      <c r="D70" s="107">
        <f t="shared" ref="D70:I70" si="30">D69/D12</f>
        <v>0.11908274104867909</v>
      </c>
      <c r="E70" s="107">
        <f t="shared" si="30"/>
        <v>0.10031915811265418</v>
      </c>
      <c r="F70" s="107">
        <f t="shared" si="30"/>
        <v>9.8455153331796177E-2</v>
      </c>
      <c r="G70" s="107">
        <f t="shared" si="30"/>
        <v>9.4451660790499159E-2</v>
      </c>
      <c r="H70" s="107">
        <f t="shared" si="30"/>
        <v>0.10666666666666667</v>
      </c>
      <c r="I70" s="107">
        <f t="shared" si="30"/>
        <v>9.1064283809015739E-2</v>
      </c>
      <c r="J70" s="397">
        <v>0.09</v>
      </c>
      <c r="K70" s="394"/>
      <c r="L70" s="391"/>
      <c r="M70" s="391"/>
      <c r="N70" s="391"/>
      <c r="O70" s="391"/>
      <c r="P70" s="391"/>
    </row>
    <row r="71" spans="1:16">
      <c r="A71" s="3"/>
      <c r="B71" s="34"/>
      <c r="C71" s="3"/>
      <c r="D71" s="3"/>
      <c r="E71" s="3"/>
      <c r="F71" s="3"/>
      <c r="G71" s="3"/>
      <c r="H71" s="3"/>
      <c r="I71" s="3"/>
      <c r="J71" s="3"/>
      <c r="K71" s="3"/>
    </row>
    <row r="72" spans="1:16">
      <c r="A72" s="3"/>
      <c r="B72" s="34" t="s">
        <v>203</v>
      </c>
      <c r="C72" s="13">
        <f>-C19</f>
        <v>869</v>
      </c>
      <c r="D72" s="13">
        <f t="shared" ref="D72:I72" si="31">-D19</f>
        <v>974</v>
      </c>
      <c r="E72" s="13">
        <f t="shared" si="31"/>
        <v>1249</v>
      </c>
      <c r="F72" s="13">
        <f t="shared" si="31"/>
        <v>521</v>
      </c>
      <c r="G72" s="13">
        <f t="shared" si="31"/>
        <v>713</v>
      </c>
      <c r="H72" s="13">
        <f t="shared" si="31"/>
        <v>657</v>
      </c>
      <c r="I72" s="13">
        <f t="shared" si="31"/>
        <v>1897</v>
      </c>
      <c r="J72" s="13">
        <f>J73*J63</f>
        <v>1467.691</v>
      </c>
      <c r="K72" s="13"/>
      <c r="L72" s="390"/>
      <c r="M72" s="390"/>
      <c r="N72" s="390"/>
      <c r="O72" s="390"/>
      <c r="P72" s="390"/>
    </row>
    <row r="73" spans="1:16">
      <c r="A73" s="3"/>
      <c r="B73" s="110" t="s">
        <v>75</v>
      </c>
      <c r="C73" s="107">
        <f>C72/C12</f>
        <v>0.12792580597674078</v>
      </c>
      <c r="D73" s="107">
        <f t="shared" ref="D73:I73" si="32">D72/D12</f>
        <v>0.13061552903312323</v>
      </c>
      <c r="E73" s="107">
        <f t="shared" si="32"/>
        <v>0.1077374277581299</v>
      </c>
      <c r="F73" s="107">
        <f t="shared" si="32"/>
        <v>6.0064560756283143E-2</v>
      </c>
      <c r="G73" s="107">
        <f t="shared" si="32"/>
        <v>6.6153275190202268E-2</v>
      </c>
      <c r="H73" s="107">
        <f t="shared" si="32"/>
        <v>0.06</v>
      </c>
      <c r="I73" s="107">
        <f t="shared" si="32"/>
        <v>0.10120032008535609</v>
      </c>
      <c r="J73" s="397">
        <v>0.1</v>
      </c>
      <c r="K73" s="394"/>
      <c r="L73" s="391"/>
      <c r="M73" s="391"/>
      <c r="N73" s="391"/>
      <c r="O73" s="391"/>
      <c r="P73" s="391"/>
    </row>
    <row r="74" spans="1:16">
      <c r="A74" s="3"/>
      <c r="B74" s="34"/>
      <c r="C74" s="3"/>
      <c r="D74" s="3"/>
      <c r="E74" s="3"/>
      <c r="F74" s="3"/>
      <c r="G74" s="3"/>
      <c r="H74" s="3"/>
      <c r="I74" s="3"/>
      <c r="J74" s="99"/>
      <c r="K74" s="3"/>
    </row>
    <row r="75" spans="1:16">
      <c r="A75" s="3"/>
      <c r="B75" s="34" t="s">
        <v>204</v>
      </c>
      <c r="C75" s="13">
        <f>-C20</f>
        <v>537</v>
      </c>
      <c r="D75" s="13">
        <f t="shared" ref="D75:I75" si="33">-D20</f>
        <v>804</v>
      </c>
      <c r="E75" s="13">
        <f t="shared" si="33"/>
        <v>1003</v>
      </c>
      <c r="F75" s="13">
        <f t="shared" si="33"/>
        <v>545</v>
      </c>
      <c r="G75" s="13">
        <f t="shared" si="33"/>
        <v>865</v>
      </c>
      <c r="H75" s="13">
        <f t="shared" si="33"/>
        <v>793</v>
      </c>
      <c r="I75" s="13">
        <f t="shared" si="33"/>
        <v>2046</v>
      </c>
      <c r="J75" s="13">
        <f>J76*J63</f>
        <v>1614.4601</v>
      </c>
      <c r="K75" s="13"/>
      <c r="L75" s="390"/>
      <c r="M75" s="390"/>
      <c r="N75" s="390"/>
      <c r="O75" s="390"/>
      <c r="P75" s="390"/>
    </row>
    <row r="76" spans="1:16">
      <c r="A76" s="3"/>
      <c r="B76" s="110" t="s">
        <v>75</v>
      </c>
      <c r="C76" s="107">
        <f>C75/C12</f>
        <v>7.9051965258354187E-2</v>
      </c>
      <c r="D76" s="107">
        <f t="shared" ref="D76:I76" si="34">D75/D12</f>
        <v>0.10781815743596621</v>
      </c>
      <c r="E76" s="107">
        <f t="shared" si="34"/>
        <v>8.6517726214094717E-2</v>
      </c>
      <c r="F76" s="107">
        <f t="shared" si="34"/>
        <v>6.2831450311275072E-2</v>
      </c>
      <c r="G76" s="107">
        <f t="shared" si="34"/>
        <v>8.0256077194284653E-2</v>
      </c>
      <c r="H76" s="107">
        <f t="shared" si="34"/>
        <v>7.2420091324200908E-2</v>
      </c>
      <c r="I76" s="107">
        <f t="shared" si="34"/>
        <v>0.1091491064283809</v>
      </c>
      <c r="J76" s="397">
        <v>0.11</v>
      </c>
      <c r="K76" s="394"/>
      <c r="L76" s="391"/>
      <c r="M76" s="391"/>
      <c r="N76" s="391"/>
      <c r="O76" s="391"/>
      <c r="P76" s="391"/>
    </row>
    <row r="77" spans="1:16" ht="15">
      <c r="A77" s="3"/>
      <c r="B77" s="103"/>
      <c r="C77" s="3"/>
      <c r="D77" s="3"/>
      <c r="E77" s="3"/>
      <c r="F77" s="3"/>
      <c r="G77" s="3"/>
      <c r="H77" s="3"/>
      <c r="I77" s="3"/>
      <c r="J77" s="3"/>
      <c r="K77" s="3"/>
    </row>
    <row r="78" spans="1:16" ht="15">
      <c r="A78" s="3"/>
      <c r="B78" s="230"/>
      <c r="C78" s="230"/>
      <c r="D78" s="230"/>
      <c r="E78" s="231"/>
      <c r="F78" s="231"/>
      <c r="G78" s="231"/>
      <c r="H78" s="231"/>
      <c r="I78" s="231"/>
      <c r="J78" s="231"/>
      <c r="K78" s="231"/>
    </row>
    <row r="79" spans="1:16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</row>
    <row r="80" spans="1:16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</row>
    <row r="81" spans="1:1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</row>
    <row r="82" spans="1:11">
      <c r="A82" s="3"/>
      <c r="B82" s="3"/>
      <c r="C82" s="3"/>
      <c r="D82" s="3"/>
      <c r="E82" s="3"/>
      <c r="F82" s="3"/>
      <c r="G82" s="13"/>
      <c r="H82" s="13"/>
      <c r="I82" s="13"/>
      <c r="J82" s="13"/>
      <c r="K82" s="3"/>
    </row>
    <row r="83" spans="1:1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</row>
    <row r="84" spans="1:11">
      <c r="A84" s="3"/>
      <c r="B84" s="3"/>
      <c r="C84" s="108"/>
      <c r="D84" s="108"/>
      <c r="E84" s="108"/>
      <c r="F84" s="108"/>
      <c r="G84" s="108"/>
      <c r="H84" s="108"/>
      <c r="I84" s="108"/>
      <c r="J84" s="108"/>
      <c r="K84" s="3"/>
    </row>
    <row r="85" spans="1:11">
      <c r="A85" s="3"/>
      <c r="B85" s="3"/>
      <c r="C85" s="3"/>
      <c r="D85" s="3"/>
      <c r="E85" s="3"/>
      <c r="F85" s="107"/>
      <c r="G85" s="107"/>
      <c r="H85" s="107"/>
      <c r="I85" s="107"/>
      <c r="J85" s="107"/>
      <c r="K85" s="3"/>
    </row>
    <row r="86" spans="1:11">
      <c r="A86" s="3"/>
      <c r="B86" s="3"/>
      <c r="C86" s="3"/>
      <c r="D86" s="3"/>
      <c r="E86" s="3"/>
      <c r="F86" s="107"/>
      <c r="G86" s="107"/>
      <c r="H86" s="107"/>
      <c r="I86" s="107"/>
      <c r="J86" s="107"/>
      <c r="K86" s="3"/>
    </row>
    <row r="87" spans="1:11">
      <c r="A87" s="3"/>
      <c r="B87" s="3"/>
      <c r="C87" s="108"/>
      <c r="D87" s="108"/>
      <c r="E87" s="108"/>
      <c r="F87" s="108"/>
      <c r="G87" s="108"/>
      <c r="H87" s="108"/>
      <c r="I87" s="108"/>
      <c r="J87" s="108"/>
      <c r="K87" s="3"/>
    </row>
    <row r="88" spans="1:11">
      <c r="A88" s="3"/>
      <c r="B88" s="110"/>
      <c r="C88" s="107"/>
      <c r="D88" s="107"/>
      <c r="E88" s="107"/>
      <c r="F88" s="107"/>
      <c r="G88" s="107"/>
      <c r="H88" s="107"/>
      <c r="I88" s="107"/>
      <c r="J88" s="107"/>
      <c r="K88" s="3"/>
    </row>
    <row r="89" spans="1:11">
      <c r="A89" s="3"/>
      <c r="B89" s="109"/>
      <c r="C89" s="108"/>
      <c r="D89" s="108"/>
      <c r="E89" s="108"/>
      <c r="F89" s="108"/>
      <c r="G89" s="108"/>
      <c r="H89" s="108"/>
      <c r="I89" s="108"/>
      <c r="J89" s="108"/>
      <c r="K89" s="3"/>
    </row>
    <row r="90" spans="1:11">
      <c r="A90" s="3"/>
      <c r="B90" s="110"/>
      <c r="C90" s="107"/>
      <c r="D90" s="107"/>
      <c r="E90" s="107"/>
      <c r="F90" s="107"/>
      <c r="G90" s="107"/>
      <c r="H90" s="107"/>
      <c r="I90" s="107"/>
      <c r="J90" s="107"/>
      <c r="K90" s="3"/>
    </row>
    <row r="91" spans="1:11">
      <c r="A91" s="3"/>
      <c r="B91" s="109"/>
      <c r="C91" s="108"/>
      <c r="D91" s="108"/>
      <c r="E91" s="108"/>
      <c r="F91" s="108"/>
      <c r="G91" s="108"/>
      <c r="H91" s="108"/>
      <c r="I91" s="108"/>
      <c r="J91" s="108"/>
      <c r="K91" s="3"/>
    </row>
    <row r="92" spans="1:11">
      <c r="A92" s="3"/>
      <c r="B92" s="110"/>
      <c r="C92" s="107"/>
      <c r="D92" s="107"/>
      <c r="E92" s="107"/>
      <c r="F92" s="107"/>
      <c r="G92" s="107"/>
      <c r="H92" s="107"/>
      <c r="I92" s="107"/>
      <c r="J92" s="107"/>
      <c r="K92" s="3"/>
    </row>
    <row r="93" spans="1:11">
      <c r="A93" s="3"/>
      <c r="B93" s="109"/>
      <c r="C93" s="108"/>
      <c r="D93" s="108"/>
      <c r="E93" s="108"/>
      <c r="F93" s="108"/>
      <c r="G93" s="108"/>
      <c r="H93" s="108"/>
      <c r="I93" s="108"/>
      <c r="J93" s="108"/>
      <c r="K93" s="3"/>
    </row>
    <row r="94" spans="1:11">
      <c r="A94" s="3"/>
      <c r="B94" s="110"/>
      <c r="C94" s="107"/>
      <c r="D94" s="107"/>
      <c r="E94" s="107"/>
      <c r="F94" s="107"/>
      <c r="G94" s="107"/>
      <c r="H94" s="107"/>
      <c r="I94" s="107"/>
      <c r="J94" s="107"/>
      <c r="K94" s="3"/>
    </row>
    <row r="95" spans="1:11">
      <c r="A95" s="3"/>
      <c r="B95" s="109"/>
      <c r="C95" s="3"/>
      <c r="D95" s="3"/>
      <c r="E95" s="3"/>
      <c r="F95" s="3"/>
      <c r="G95" s="3"/>
      <c r="H95" s="3"/>
      <c r="I95" s="3"/>
      <c r="J95" s="3"/>
      <c r="K95" s="3"/>
    </row>
    <row r="96" spans="1:11" ht="15">
      <c r="A96" s="3"/>
      <c r="B96" s="90"/>
      <c r="C96" s="108"/>
      <c r="D96" s="108"/>
      <c r="E96" s="108"/>
      <c r="F96" s="108"/>
      <c r="G96" s="108"/>
      <c r="H96" s="108"/>
      <c r="I96" s="108"/>
      <c r="J96" s="108"/>
      <c r="K96" s="3"/>
    </row>
    <row r="97" spans="1:11">
      <c r="A97" s="3"/>
      <c r="B97" s="110"/>
      <c r="C97" s="107"/>
      <c r="D97" s="107"/>
      <c r="E97" s="107"/>
      <c r="F97" s="107"/>
      <c r="G97" s="107"/>
      <c r="H97" s="107"/>
      <c r="I97" s="107"/>
      <c r="J97" s="107"/>
      <c r="K97" s="3"/>
    </row>
    <row r="98" spans="1:11" ht="15">
      <c r="A98" s="3"/>
      <c r="B98" s="111"/>
      <c r="C98" s="108"/>
      <c r="D98" s="108"/>
      <c r="E98" s="108"/>
      <c r="F98" s="108"/>
      <c r="G98" s="108"/>
      <c r="H98" s="108"/>
      <c r="I98" s="108"/>
      <c r="J98" s="108"/>
      <c r="K98" s="3"/>
    </row>
    <row r="99" spans="1:11">
      <c r="A99" s="3"/>
      <c r="B99" s="88"/>
      <c r="C99" s="108"/>
      <c r="D99" s="108"/>
      <c r="E99" s="108"/>
      <c r="F99" s="108"/>
      <c r="G99" s="108"/>
      <c r="H99" s="108"/>
      <c r="I99" s="108"/>
      <c r="J99" s="108"/>
      <c r="K99" s="3"/>
    </row>
    <row r="100" spans="1:11">
      <c r="A100" s="3"/>
      <c r="B100" s="3"/>
      <c r="C100" s="107"/>
      <c r="D100" s="107"/>
      <c r="E100" s="107"/>
      <c r="F100" s="107"/>
      <c r="G100" s="107"/>
      <c r="H100" s="107"/>
      <c r="I100" s="107"/>
      <c r="J100" s="107"/>
      <c r="K100" s="3"/>
    </row>
    <row r="101" spans="1:1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</row>
    <row r="102" spans="1:11">
      <c r="A102" s="3"/>
      <c r="B102" s="3"/>
      <c r="C102" s="3"/>
      <c r="D102" s="3"/>
      <c r="E102" s="3"/>
      <c r="F102" s="3"/>
      <c r="G102" s="107"/>
      <c r="H102" s="107"/>
      <c r="I102" s="107"/>
      <c r="J102" s="107"/>
      <c r="K102" s="3"/>
    </row>
    <row r="103" spans="1:1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</row>
    <row r="104" spans="1:1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</row>
    <row r="105" spans="1:1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</row>
  </sheetData>
  <mergeCells count="1">
    <mergeCell ref="C4:J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P101"/>
  <sheetViews>
    <sheetView showGridLines="0" zoomScale="74" zoomScaleNormal="74" workbookViewId="0">
      <pane xSplit="2" ySplit="5" topLeftCell="H6" activePane="bottomRight" state="frozen"/>
      <selection pane="topRight" activeCell="C1" sqref="C1"/>
      <selection pane="bottomLeft" activeCell="A6" sqref="A6"/>
      <selection pane="bottomRight" activeCell="L40" sqref="L40"/>
    </sheetView>
  </sheetViews>
  <sheetFormatPr defaultRowHeight="14.25"/>
  <cols>
    <col min="1" max="1" width="2.85546875" style="266" customWidth="1"/>
    <col min="2" max="2" width="44.28515625" style="266" customWidth="1"/>
    <col min="3" max="3" width="12.5703125" style="266" hidden="1" customWidth="1"/>
    <col min="4" max="4" width="12.28515625" style="266" hidden="1" customWidth="1"/>
    <col min="5" max="5" width="13.85546875" style="266" hidden="1" customWidth="1"/>
    <col min="6" max="9" width="13.85546875" style="266" bestFit="1" customWidth="1"/>
    <col min="10" max="10" width="14.7109375" style="266" bestFit="1" customWidth="1"/>
    <col min="11" max="15" width="15.5703125" style="266" bestFit="1" customWidth="1"/>
    <col min="16" max="16" width="11.7109375" style="266" bestFit="1" customWidth="1"/>
    <col min="17" max="16384" width="9.140625" style="266"/>
  </cols>
  <sheetData>
    <row r="1" spans="1:16" s="258" customFormat="1" ht="32.25">
      <c r="A1" s="261" t="str">
        <f>Index!A1</f>
        <v>Alibaba IPO</v>
      </c>
      <c r="B1" s="257"/>
      <c r="C1" s="257"/>
      <c r="D1" s="257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  <c r="P1" s="257"/>
    </row>
    <row r="2" spans="1:16" s="258" customFormat="1" ht="23.25" hidden="1">
      <c r="A2" s="260" t="s">
        <v>193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</row>
    <row r="3" spans="1:16" ht="23.25" hidden="1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ht="20.25">
      <c r="A4" s="3"/>
      <c r="B4" s="5"/>
      <c r="C4" s="422" t="s">
        <v>101</v>
      </c>
      <c r="D4" s="422"/>
      <c r="E4" s="422"/>
      <c r="F4" s="422"/>
      <c r="G4" s="422"/>
      <c r="H4" s="422" t="s">
        <v>102</v>
      </c>
      <c r="I4" s="422"/>
      <c r="J4" s="422"/>
      <c r="K4" s="422"/>
      <c r="L4" s="422"/>
      <c r="M4" s="422"/>
      <c r="N4" s="422"/>
      <c r="O4" s="422"/>
      <c r="P4" s="3"/>
    </row>
    <row r="5" spans="1:16" ht="15.75" thickBot="1">
      <c r="A5" s="3"/>
      <c r="B5" s="165" t="s">
        <v>217</v>
      </c>
      <c r="C5" s="11">
        <v>40268</v>
      </c>
      <c r="D5" s="11">
        <f t="shared" ref="D5:O5" si="0">EOMONTH(C5,12)</f>
        <v>40633</v>
      </c>
      <c r="E5" s="11">
        <f t="shared" si="0"/>
        <v>40999</v>
      </c>
      <c r="F5" s="11">
        <f t="shared" si="0"/>
        <v>41364</v>
      </c>
      <c r="G5" s="318">
        <f t="shared" si="0"/>
        <v>41729</v>
      </c>
      <c r="H5" s="11">
        <f t="shared" si="0"/>
        <v>42094</v>
      </c>
      <c r="I5" s="11">
        <f t="shared" si="0"/>
        <v>42460</v>
      </c>
      <c r="J5" s="11">
        <f t="shared" si="0"/>
        <v>42825</v>
      </c>
      <c r="K5" s="11">
        <f t="shared" si="0"/>
        <v>43190</v>
      </c>
      <c r="L5" s="11">
        <f t="shared" si="0"/>
        <v>43555</v>
      </c>
      <c r="M5" s="11">
        <f t="shared" si="0"/>
        <v>43921</v>
      </c>
      <c r="N5" s="11">
        <f t="shared" si="0"/>
        <v>44286</v>
      </c>
      <c r="O5" s="11">
        <f t="shared" si="0"/>
        <v>44651</v>
      </c>
      <c r="P5" s="3"/>
    </row>
    <row r="6" spans="1:1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>
      <c r="A7" s="3"/>
      <c r="B7" s="3" t="s">
        <v>52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</row>
    <row r="8" spans="1:16">
      <c r="A8" s="3"/>
      <c r="B8" s="110" t="s">
        <v>198</v>
      </c>
      <c r="C8" s="72">
        <v>3716</v>
      </c>
      <c r="D8" s="72">
        <v>7665</v>
      </c>
      <c r="E8" s="72">
        <v>15637</v>
      </c>
      <c r="F8" s="72">
        <v>29167</v>
      </c>
      <c r="G8" s="398">
        <f>35167+'Quarterly IS'!J51</f>
        <v>47737.75</v>
      </c>
      <c r="H8" s="13">
        <f t="shared" ref="H8:O8" si="1">H60</f>
        <v>60570.960000000006</v>
      </c>
      <c r="I8" s="13">
        <f t="shared" si="1"/>
        <v>76971.436400000006</v>
      </c>
      <c r="J8" s="13">
        <f t="shared" si="1"/>
        <v>97936.080492000008</v>
      </c>
      <c r="K8" s="13">
        <f t="shared" si="1"/>
        <v>124741.46094476001</v>
      </c>
      <c r="L8" s="13">
        <f t="shared" si="1"/>
        <v>156582.97437064763</v>
      </c>
      <c r="M8" s="13">
        <f t="shared" si="1"/>
        <v>179774.68471636972</v>
      </c>
      <c r="N8" s="13">
        <f t="shared" si="1"/>
        <v>197596.90511282237</v>
      </c>
      <c r="O8" s="13">
        <f t="shared" si="1"/>
        <v>207476.69536846346</v>
      </c>
      <c r="P8" s="3"/>
    </row>
    <row r="9" spans="1:16">
      <c r="A9" s="3"/>
      <c r="B9" s="110" t="s">
        <v>199</v>
      </c>
      <c r="C9" s="72">
        <v>2620</v>
      </c>
      <c r="D9" s="72">
        <v>3433</v>
      </c>
      <c r="E9" s="72">
        <v>3765</v>
      </c>
      <c r="F9" s="72">
        <v>4160</v>
      </c>
      <c r="G9" s="398">
        <f>3557+'Quarterly IS'!J54</f>
        <v>4757.8</v>
      </c>
      <c r="H9" s="13">
        <f t="shared" ref="H9:O9" si="2">H68</f>
        <v>5388.2000000000007</v>
      </c>
      <c r="I9" s="13">
        <f t="shared" si="2"/>
        <v>6246.8600000000006</v>
      </c>
      <c r="J9" s="13">
        <f t="shared" si="2"/>
        <v>7443.0905000000012</v>
      </c>
      <c r="K9" s="13">
        <f t="shared" si="2"/>
        <v>9141.0887750000002</v>
      </c>
      <c r="L9" s="13">
        <f t="shared" si="2"/>
        <v>11586.921338750002</v>
      </c>
      <c r="M9" s="13">
        <f t="shared" si="2"/>
        <v>13491.8611556875</v>
      </c>
      <c r="N9" s="13">
        <f t="shared" si="2"/>
        <v>14995.009682221877</v>
      </c>
      <c r="O9" s="13">
        <f t="shared" si="2"/>
        <v>16221.186748364222</v>
      </c>
      <c r="P9" s="3"/>
    </row>
    <row r="10" spans="1:16">
      <c r="A10" s="3"/>
      <c r="B10" s="110" t="s">
        <v>200</v>
      </c>
      <c r="C10" s="72">
        <v>144</v>
      </c>
      <c r="D10" s="72">
        <v>425</v>
      </c>
      <c r="E10" s="72">
        <v>515</v>
      </c>
      <c r="F10" s="72">
        <v>650</v>
      </c>
      <c r="G10" s="398">
        <f>560+'Quarterly IS'!J57</f>
        <v>757.96</v>
      </c>
      <c r="H10" s="13">
        <f t="shared" ref="H10:O10" si="3">H71</f>
        <v>588</v>
      </c>
      <c r="I10" s="13">
        <f t="shared" si="3"/>
        <v>617.4</v>
      </c>
      <c r="J10" s="13">
        <f t="shared" si="3"/>
        <v>648.27</v>
      </c>
      <c r="K10" s="13">
        <f t="shared" si="3"/>
        <v>680.68349999999998</v>
      </c>
      <c r="L10" s="13">
        <f t="shared" si="3"/>
        <v>714.71767499999999</v>
      </c>
      <c r="M10" s="13">
        <f t="shared" si="3"/>
        <v>750.45355875000007</v>
      </c>
      <c r="N10" s="13">
        <f t="shared" si="3"/>
        <v>787.97623668750009</v>
      </c>
      <c r="O10" s="13">
        <f t="shared" si="3"/>
        <v>827.3750485218751</v>
      </c>
      <c r="P10" s="3"/>
    </row>
    <row r="11" spans="1:16">
      <c r="A11" s="3"/>
      <c r="B11" s="110" t="s">
        <v>201</v>
      </c>
      <c r="C11" s="72">
        <v>190</v>
      </c>
      <c r="D11" s="72">
        <v>380</v>
      </c>
      <c r="E11" s="72">
        <v>108</v>
      </c>
      <c r="F11" s="72">
        <v>540</v>
      </c>
      <c r="G11" s="398">
        <f>1189+'Quarterly IS'!J60</f>
        <v>1896.4</v>
      </c>
      <c r="H11" s="13">
        <f t="shared" ref="H11:O11" si="4">H73</f>
        <v>1783.5</v>
      </c>
      <c r="I11" s="13">
        <f t="shared" si="4"/>
        <v>2675.25</v>
      </c>
      <c r="J11" s="13">
        <f t="shared" si="4"/>
        <v>4012.875</v>
      </c>
      <c r="K11" s="13">
        <f t="shared" si="4"/>
        <v>6019.3125</v>
      </c>
      <c r="L11" s="13">
        <f t="shared" si="4"/>
        <v>9028.96875</v>
      </c>
      <c r="M11" s="13">
        <f t="shared" si="4"/>
        <v>11286.2109375</v>
      </c>
      <c r="N11" s="13">
        <f t="shared" si="4"/>
        <v>12979.142578124998</v>
      </c>
      <c r="O11" s="13">
        <f t="shared" si="4"/>
        <v>14277.056835937499</v>
      </c>
      <c r="P11" s="3"/>
    </row>
    <row r="12" spans="1:16" ht="15">
      <c r="A12" s="3"/>
      <c r="B12" s="3" t="s">
        <v>18</v>
      </c>
      <c r="C12" s="319">
        <f t="shared" ref="C12:L12" si="5">SUM(C8:C11)</f>
        <v>6670</v>
      </c>
      <c r="D12" s="319">
        <f t="shared" si="5"/>
        <v>11903</v>
      </c>
      <c r="E12" s="319">
        <f t="shared" si="5"/>
        <v>20025</v>
      </c>
      <c r="F12" s="319">
        <f t="shared" si="5"/>
        <v>34517</v>
      </c>
      <c r="G12" s="319">
        <f t="shared" si="5"/>
        <v>55149.91</v>
      </c>
      <c r="H12" s="319">
        <f t="shared" si="5"/>
        <v>68330.66</v>
      </c>
      <c r="I12" s="319">
        <f t="shared" si="5"/>
        <v>86510.946400000001</v>
      </c>
      <c r="J12" s="319">
        <f t="shared" si="5"/>
        <v>110040.31599200002</v>
      </c>
      <c r="K12" s="319">
        <f t="shared" si="5"/>
        <v>140582.54571976003</v>
      </c>
      <c r="L12" s="319">
        <f t="shared" si="5"/>
        <v>177913.58213439761</v>
      </c>
      <c r="M12" s="319">
        <f t="shared" ref="M12:N12" si="6">SUM(M8:M11)</f>
        <v>205303.21036830725</v>
      </c>
      <c r="N12" s="319">
        <f t="shared" si="6"/>
        <v>226359.03360985673</v>
      </c>
      <c r="O12" s="319">
        <f t="shared" ref="O12" si="7">SUM(O8:O11)</f>
        <v>238802.31400128704</v>
      </c>
      <c r="P12" s="3"/>
    </row>
    <row r="13" spans="1:16">
      <c r="A13" s="3"/>
      <c r="B13" s="3"/>
      <c r="C13" s="72"/>
      <c r="D13" s="163"/>
      <c r="E13" s="163"/>
      <c r="F13" s="163"/>
      <c r="G13" s="163"/>
      <c r="H13" s="62"/>
      <c r="I13" s="62"/>
      <c r="J13" s="62"/>
      <c r="K13" s="62"/>
      <c r="L13" s="62"/>
      <c r="M13" s="62"/>
      <c r="N13" s="62"/>
      <c r="O13" s="62"/>
      <c r="P13" s="6"/>
    </row>
    <row r="14" spans="1:16">
      <c r="A14" s="3"/>
      <c r="B14" s="3" t="s">
        <v>53</v>
      </c>
      <c r="C14" s="72">
        <v>-1634</v>
      </c>
      <c r="D14" s="72">
        <v>-3497</v>
      </c>
      <c r="E14" s="72">
        <v>-6554</v>
      </c>
      <c r="F14" s="72">
        <v>-9719</v>
      </c>
      <c r="G14" s="398">
        <f>-9899-'Quarterly IS'!J66</f>
        <v>-13127.9202</v>
      </c>
      <c r="H14" s="62">
        <f t="shared" ref="H14:O14" si="8">-H80</f>
        <v>-16399.358400000001</v>
      </c>
      <c r="I14" s="62">
        <f t="shared" si="8"/>
        <v>-20762.627135999999</v>
      </c>
      <c r="J14" s="62">
        <f t="shared" si="8"/>
        <v>-26409.675838080002</v>
      </c>
      <c r="K14" s="62">
        <f t="shared" si="8"/>
        <v>-33739.810972742409</v>
      </c>
      <c r="L14" s="62">
        <f t="shared" si="8"/>
        <v>-42699.259712255429</v>
      </c>
      <c r="M14" s="62">
        <f t="shared" si="8"/>
        <v>-49272.77048839374</v>
      </c>
      <c r="N14" s="62">
        <f t="shared" si="8"/>
        <v>-54326.168066365615</v>
      </c>
      <c r="O14" s="62">
        <f t="shared" si="8"/>
        <v>-57312.555360308885</v>
      </c>
      <c r="P14" s="3"/>
    </row>
    <row r="15" spans="1:16" ht="15">
      <c r="A15" s="3"/>
      <c r="B15" s="90" t="s">
        <v>54</v>
      </c>
      <c r="C15" s="112">
        <f t="shared" ref="C15:L15" si="9">C12+C14</f>
        <v>5036</v>
      </c>
      <c r="D15" s="112">
        <f t="shared" si="9"/>
        <v>8406</v>
      </c>
      <c r="E15" s="112">
        <f t="shared" si="9"/>
        <v>13471</v>
      </c>
      <c r="F15" s="112">
        <f t="shared" si="9"/>
        <v>24798</v>
      </c>
      <c r="G15" s="112">
        <f t="shared" si="9"/>
        <v>42021.989800000003</v>
      </c>
      <c r="H15" s="112">
        <f t="shared" si="9"/>
        <v>51931.301600000006</v>
      </c>
      <c r="I15" s="112">
        <f t="shared" si="9"/>
        <v>65748.319264000005</v>
      </c>
      <c r="J15" s="112">
        <f t="shared" si="9"/>
        <v>83630.640153920016</v>
      </c>
      <c r="K15" s="112">
        <f t="shared" si="9"/>
        <v>106842.73474701762</v>
      </c>
      <c r="L15" s="112">
        <f t="shared" si="9"/>
        <v>135214.3224221422</v>
      </c>
      <c r="M15" s="112">
        <f t="shared" ref="M15:N15" si="10">M12+M14</f>
        <v>156030.43987991352</v>
      </c>
      <c r="N15" s="112">
        <f t="shared" si="10"/>
        <v>172032.86554349112</v>
      </c>
      <c r="O15" s="112">
        <f t="shared" ref="O15" si="11">O12+O14</f>
        <v>181489.75864097817</v>
      </c>
      <c r="P15" s="3"/>
    </row>
    <row r="16" spans="1:16">
      <c r="A16" s="3"/>
      <c r="B16" s="3"/>
      <c r="C16" s="62"/>
      <c r="D16" s="62"/>
      <c r="E16" s="62"/>
      <c r="F16" s="62"/>
      <c r="G16" s="62"/>
      <c r="H16" s="3"/>
      <c r="I16" s="3"/>
      <c r="J16" s="3"/>
      <c r="K16" s="3"/>
      <c r="L16" s="7">
        <f>L12/6.1264</f>
        <v>29040.477627056283</v>
      </c>
      <c r="M16" s="3"/>
      <c r="N16" s="3"/>
      <c r="O16" s="6"/>
      <c r="P16" s="3"/>
    </row>
    <row r="17" spans="1:16" ht="15">
      <c r="A17" s="3"/>
      <c r="B17" s="102" t="s">
        <v>55</v>
      </c>
      <c r="C17" s="62"/>
      <c r="D17" s="62"/>
      <c r="E17" s="62"/>
      <c r="F17" s="62"/>
      <c r="G17" s="62"/>
      <c r="H17" s="3"/>
      <c r="I17" s="3"/>
      <c r="J17" s="3"/>
      <c r="K17" s="3"/>
      <c r="L17" s="6"/>
      <c r="M17" s="3"/>
      <c r="N17" s="3"/>
      <c r="O17" s="3"/>
      <c r="P17" s="3"/>
    </row>
    <row r="18" spans="1:16">
      <c r="A18" s="3"/>
      <c r="B18" s="109" t="s">
        <v>202</v>
      </c>
      <c r="C18" s="72">
        <v>-1135</v>
      </c>
      <c r="D18" s="72">
        <v>-2062</v>
      </c>
      <c r="E18" s="72">
        <v>-2897</v>
      </c>
      <c r="F18" s="72">
        <v>-3753</v>
      </c>
      <c r="G18" s="398">
        <f>-3893-'Quarterly IS'!J69</f>
        <v>-5213.9219000000003</v>
      </c>
      <c r="H18" s="62">
        <f t="shared" ref="H18:O18" si="12">-H83</f>
        <v>-6491.4127000000008</v>
      </c>
      <c r="I18" s="62">
        <f t="shared" si="12"/>
        <v>-8218.5399080000007</v>
      </c>
      <c r="J18" s="62">
        <f t="shared" si="12"/>
        <v>-10453.830019240002</v>
      </c>
      <c r="K18" s="62">
        <f t="shared" si="12"/>
        <v>-13355.341843377204</v>
      </c>
      <c r="L18" s="62">
        <f t="shared" si="12"/>
        <v>-16901.790302767775</v>
      </c>
      <c r="M18" s="62">
        <f t="shared" si="12"/>
        <v>-19503.80498498919</v>
      </c>
      <c r="N18" s="62">
        <f t="shared" si="12"/>
        <v>-21504.10819293639</v>
      </c>
      <c r="O18" s="62">
        <f t="shared" si="12"/>
        <v>-22686.219830122271</v>
      </c>
      <c r="P18" s="3"/>
    </row>
    <row r="19" spans="1:16">
      <c r="A19" s="3"/>
      <c r="B19" s="109" t="s">
        <v>203</v>
      </c>
      <c r="C19" s="72">
        <v>-2335</v>
      </c>
      <c r="D19" s="72">
        <v>-3154</v>
      </c>
      <c r="E19" s="72">
        <v>-3058</v>
      </c>
      <c r="F19" s="72">
        <v>-3613</v>
      </c>
      <c r="G19" s="398">
        <f>-3267-'Quarterly IS'!J72</f>
        <v>-4734.6909999999998</v>
      </c>
      <c r="H19" s="62">
        <f t="shared" ref="H19:O19" si="13">-H86</f>
        <v>-5808.1061000000009</v>
      </c>
      <c r="I19" s="62">
        <f t="shared" si="13"/>
        <v>-7353.4304440000005</v>
      </c>
      <c r="J19" s="62">
        <f t="shared" si="13"/>
        <v>-9353.4268593200013</v>
      </c>
      <c r="K19" s="62">
        <f t="shared" si="13"/>
        <v>-11949.516386179605</v>
      </c>
      <c r="L19" s="62">
        <f t="shared" si="13"/>
        <v>-15122.654481423799</v>
      </c>
      <c r="M19" s="62">
        <f t="shared" si="13"/>
        <v>-17450.772881306119</v>
      </c>
      <c r="N19" s="62">
        <f t="shared" si="13"/>
        <v>-19240.517856837825</v>
      </c>
      <c r="O19" s="62">
        <f t="shared" si="13"/>
        <v>-20298.196690109398</v>
      </c>
      <c r="P19" s="3"/>
    </row>
    <row r="20" spans="1:16">
      <c r="A20" s="3"/>
      <c r="B20" s="109" t="s">
        <v>204</v>
      </c>
      <c r="C20" s="72">
        <v>-1000</v>
      </c>
      <c r="D20" s="72">
        <v>-1724</v>
      </c>
      <c r="E20" s="72">
        <v>-2211</v>
      </c>
      <c r="F20" s="72">
        <v>-2889</v>
      </c>
      <c r="G20" s="398">
        <f>-3704-'Quarterly IS'!J75</f>
        <v>-5318.4601000000002</v>
      </c>
      <c r="H20" s="62">
        <f t="shared" ref="H20:O20" si="14">-H89</f>
        <v>-6559.7433600000004</v>
      </c>
      <c r="I20" s="62">
        <f t="shared" si="14"/>
        <v>-8305.0508544000004</v>
      </c>
      <c r="J20" s="62">
        <f t="shared" si="14"/>
        <v>-10563.870335232003</v>
      </c>
      <c r="K20" s="62">
        <f t="shared" si="14"/>
        <v>-13495.924389096963</v>
      </c>
      <c r="L20" s="62">
        <f t="shared" si="14"/>
        <v>-17079.70388490217</v>
      </c>
      <c r="M20" s="62">
        <f t="shared" si="14"/>
        <v>-19709.108195357498</v>
      </c>
      <c r="N20" s="62">
        <f t="shared" si="14"/>
        <v>-21730.467226546247</v>
      </c>
      <c r="O20" s="62">
        <f t="shared" si="14"/>
        <v>-22925.022144123555</v>
      </c>
      <c r="P20" s="3"/>
    </row>
    <row r="21" spans="1:16">
      <c r="A21" s="3"/>
      <c r="B21" s="109" t="s">
        <v>205</v>
      </c>
      <c r="C21" s="72">
        <v>-131</v>
      </c>
      <c r="D21" s="72">
        <v>-144</v>
      </c>
      <c r="E21" s="72">
        <v>-155</v>
      </c>
      <c r="F21" s="72">
        <v>-130</v>
      </c>
      <c r="G21" s="72">
        <v>-197</v>
      </c>
      <c r="H21" s="62">
        <v>0</v>
      </c>
      <c r="I21" s="62">
        <v>0</v>
      </c>
      <c r="J21" s="62">
        <v>0</v>
      </c>
      <c r="K21" s="62">
        <v>0</v>
      </c>
      <c r="L21" s="62">
        <v>0</v>
      </c>
      <c r="M21" s="62">
        <v>0</v>
      </c>
      <c r="N21" s="62">
        <v>0</v>
      </c>
      <c r="O21" s="62">
        <v>0</v>
      </c>
      <c r="P21" s="3"/>
    </row>
    <row r="22" spans="1:16">
      <c r="A22" s="3"/>
      <c r="B22" s="109" t="s">
        <v>206</v>
      </c>
      <c r="C22" s="72">
        <v>-1308</v>
      </c>
      <c r="D22" s="72">
        <v>0</v>
      </c>
      <c r="E22" s="72">
        <v>-135</v>
      </c>
      <c r="F22" s="72">
        <v>-175</v>
      </c>
      <c r="G22" s="72">
        <v>-44</v>
      </c>
      <c r="H22" s="62">
        <v>0</v>
      </c>
      <c r="I22" s="62">
        <v>0</v>
      </c>
      <c r="J22" s="62">
        <v>0</v>
      </c>
      <c r="K22" s="62">
        <v>0</v>
      </c>
      <c r="L22" s="62">
        <v>0</v>
      </c>
      <c r="M22" s="62">
        <v>0</v>
      </c>
      <c r="N22" s="62">
        <v>0</v>
      </c>
      <c r="O22" s="62">
        <v>0</v>
      </c>
      <c r="P22" s="3"/>
    </row>
    <row r="23" spans="1:16">
      <c r="A23" s="3"/>
      <c r="B23" s="109" t="s">
        <v>207</v>
      </c>
      <c r="C23" s="72">
        <v>0</v>
      </c>
      <c r="D23" s="72">
        <v>0</v>
      </c>
      <c r="E23" s="72">
        <v>0</v>
      </c>
      <c r="F23" s="72">
        <v>-3487</v>
      </c>
      <c r="G23" s="72">
        <v>0</v>
      </c>
      <c r="H23" s="62"/>
      <c r="I23" s="62"/>
      <c r="J23" s="62"/>
      <c r="K23" s="62"/>
      <c r="L23" s="62"/>
      <c r="M23" s="62"/>
      <c r="N23" s="62"/>
      <c r="O23" s="62"/>
      <c r="P23" s="3"/>
    </row>
    <row r="24" spans="1:16" ht="15">
      <c r="A24" s="3"/>
      <c r="B24" s="90" t="s">
        <v>56</v>
      </c>
      <c r="C24" s="112">
        <f t="shared" ref="C24:L24" si="15">SUM(C18:C23)</f>
        <v>-5909</v>
      </c>
      <c r="D24" s="112">
        <f t="shared" si="15"/>
        <v>-7084</v>
      </c>
      <c r="E24" s="112">
        <f t="shared" si="15"/>
        <v>-8456</v>
      </c>
      <c r="F24" s="112">
        <f t="shared" si="15"/>
        <v>-14047</v>
      </c>
      <c r="G24" s="112">
        <f t="shared" si="15"/>
        <v>-15508.073</v>
      </c>
      <c r="H24" s="112">
        <f t="shared" si="15"/>
        <v>-18859.262160000002</v>
      </c>
      <c r="I24" s="112">
        <f t="shared" si="15"/>
        <v>-23877.021206400001</v>
      </c>
      <c r="J24" s="112">
        <f t="shared" si="15"/>
        <v>-30371.127213792002</v>
      </c>
      <c r="K24" s="112">
        <f t="shared" si="15"/>
        <v>-38800.782618653771</v>
      </c>
      <c r="L24" s="112">
        <f t="shared" si="15"/>
        <v>-49104.148669093745</v>
      </c>
      <c r="M24" s="112">
        <f t="shared" ref="M24:N24" si="16">SUM(M18:M23)</f>
        <v>-56663.686061652807</v>
      </c>
      <c r="N24" s="112">
        <f t="shared" si="16"/>
        <v>-62475.093276320462</v>
      </c>
      <c r="O24" s="112">
        <f t="shared" ref="O24" si="17">SUM(O18:O23)</f>
        <v>-65909.438664355228</v>
      </c>
      <c r="P24" s="3"/>
    </row>
    <row r="25" spans="1:16">
      <c r="A25" s="3"/>
      <c r="B25" s="3"/>
      <c r="C25" s="62"/>
      <c r="D25" s="62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</row>
    <row r="26" spans="1:16">
      <c r="A26" s="3"/>
      <c r="B26" s="3"/>
      <c r="C26" s="62"/>
      <c r="D26" s="62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</row>
    <row r="27" spans="1:16" ht="15">
      <c r="A27" s="3"/>
      <c r="B27" s="90" t="s">
        <v>294</v>
      </c>
      <c r="C27" s="112">
        <f t="shared" ref="C27:L27" si="18">C15+C24</f>
        <v>-873</v>
      </c>
      <c r="D27" s="112">
        <f t="shared" si="18"/>
        <v>1322</v>
      </c>
      <c r="E27" s="112">
        <f t="shared" si="18"/>
        <v>5015</v>
      </c>
      <c r="F27" s="112">
        <f t="shared" si="18"/>
        <v>10751</v>
      </c>
      <c r="G27" s="112">
        <f t="shared" si="18"/>
        <v>26513.916800000003</v>
      </c>
      <c r="H27" s="112">
        <f t="shared" si="18"/>
        <v>33072.039440000008</v>
      </c>
      <c r="I27" s="112">
        <f t="shared" si="18"/>
        <v>41871.298057600005</v>
      </c>
      <c r="J27" s="112">
        <f t="shared" si="18"/>
        <v>53259.512940128014</v>
      </c>
      <c r="K27" s="112">
        <f t="shared" si="18"/>
        <v>68041.952128363846</v>
      </c>
      <c r="L27" s="112">
        <f t="shared" si="18"/>
        <v>86110.173753048453</v>
      </c>
      <c r="M27" s="112">
        <f t="shared" ref="M27:N27" si="19">M15+M24</f>
        <v>99366.75381826071</v>
      </c>
      <c r="N27" s="112">
        <f t="shared" si="19"/>
        <v>109557.77226717066</v>
      </c>
      <c r="O27" s="112">
        <f t="shared" ref="O27" si="20">O15+O24</f>
        <v>115580.31997662294</v>
      </c>
      <c r="P27" s="3"/>
    </row>
    <row r="28" spans="1:16">
      <c r="A28" s="3"/>
      <c r="B28" s="3"/>
      <c r="C28" s="62"/>
      <c r="D28" s="62"/>
      <c r="E28" s="62"/>
      <c r="F28" s="62"/>
      <c r="G28" s="62"/>
      <c r="H28" s="3"/>
      <c r="I28" s="3"/>
      <c r="J28" s="3"/>
      <c r="K28" s="3"/>
      <c r="L28" s="3"/>
      <c r="M28" s="3"/>
      <c r="N28" s="3"/>
      <c r="O28" s="3"/>
      <c r="P28" s="3"/>
    </row>
    <row r="29" spans="1:16">
      <c r="A29" s="3"/>
      <c r="B29" s="3" t="s">
        <v>209</v>
      </c>
      <c r="C29" s="72">
        <v>384</v>
      </c>
      <c r="D29" s="72">
        <v>549</v>
      </c>
      <c r="E29" s="72">
        <v>258</v>
      </c>
      <c r="F29" s="72">
        <v>39</v>
      </c>
      <c r="G29" s="72">
        <v>1080</v>
      </c>
      <c r="H29" s="164">
        <f ca="1">Debt!H44</f>
        <v>1131.8008113404915</v>
      </c>
      <c r="I29" s="164">
        <f ca="1">Debt!I44</f>
        <v>1539.6692286423984</v>
      </c>
      <c r="J29" s="164">
        <f ca="1">Debt!J44</f>
        <v>2210.683890338451</v>
      </c>
      <c r="K29" s="164">
        <f ca="1">Debt!K44</f>
        <v>3236.1979495674582</v>
      </c>
      <c r="L29" s="164">
        <f ca="1">Debt!L44</f>
        <v>4601.652722822123</v>
      </c>
      <c r="M29" s="164">
        <f ca="1">Debt!M44</f>
        <v>6226.0074485531641</v>
      </c>
      <c r="N29" s="164">
        <f ca="1">Debt!N44</f>
        <v>8040.7285374879539</v>
      </c>
      <c r="O29" s="164">
        <f ca="1">Debt!O44</f>
        <v>10005.827223148981</v>
      </c>
      <c r="P29" s="3"/>
    </row>
    <row r="30" spans="1:16">
      <c r="A30" s="3"/>
      <c r="B30" s="3" t="s">
        <v>210</v>
      </c>
      <c r="C30" s="72">
        <v>0</v>
      </c>
      <c r="D30" s="72">
        <v>-4</v>
      </c>
      <c r="E30" s="72">
        <v>-68</v>
      </c>
      <c r="F30" s="72">
        <v>-1572</v>
      </c>
      <c r="G30" s="72">
        <v>-1842</v>
      </c>
      <c r="H30" s="164">
        <f>-Debt!H36</f>
        <v>-1663.7940000000001</v>
      </c>
      <c r="I30" s="164">
        <f ca="1">-Debt!I36</f>
        <v>-1035.405</v>
      </c>
      <c r="J30" s="164">
        <f ca="1">-Debt!J36</f>
        <v>-599.76</v>
      </c>
      <c r="K30" s="164">
        <f ca="1">-Debt!K36</f>
        <v>-464.97149999999999</v>
      </c>
      <c r="L30" s="164">
        <f ca="1">-Debt!L36</f>
        <v>-434.79450000000003</v>
      </c>
      <c r="M30" s="164">
        <f ca="1">-Debt!M36</f>
        <v>-404.61750000000001</v>
      </c>
      <c r="N30" s="164">
        <f ca="1">-Debt!N36</f>
        <v>-374.44049999999999</v>
      </c>
      <c r="O30" s="164">
        <f ca="1">-Debt!O36</f>
        <v>-344.26350000000002</v>
      </c>
      <c r="P30" s="3"/>
    </row>
    <row r="31" spans="1:16">
      <c r="A31" s="3"/>
      <c r="B31" s="3" t="s">
        <v>57</v>
      </c>
      <c r="C31" s="72">
        <v>200</v>
      </c>
      <c r="D31" s="72">
        <v>68</v>
      </c>
      <c r="E31" s="72">
        <v>327</v>
      </c>
      <c r="F31" s="72">
        <v>894</v>
      </c>
      <c r="G31" s="72">
        <v>1178</v>
      </c>
      <c r="H31" s="99"/>
      <c r="I31" s="99"/>
      <c r="J31" s="99"/>
      <c r="K31" s="99"/>
      <c r="L31" s="99"/>
      <c r="M31" s="99"/>
      <c r="N31" s="99"/>
      <c r="O31" s="99"/>
      <c r="P31" s="3"/>
    </row>
    <row r="32" spans="1:16">
      <c r="A32" s="3"/>
      <c r="B32" s="3"/>
      <c r="C32" s="72"/>
      <c r="D32" s="72"/>
      <c r="E32" s="72"/>
      <c r="F32" s="72"/>
      <c r="G32" s="72"/>
      <c r="H32" s="3"/>
      <c r="I32" s="3"/>
      <c r="J32" s="3"/>
      <c r="K32" s="3"/>
      <c r="L32" s="3"/>
      <c r="M32" s="3"/>
      <c r="N32" s="3"/>
      <c r="O32" s="3"/>
      <c r="P32" s="3"/>
    </row>
    <row r="33" spans="1:16" ht="15">
      <c r="A33" s="3"/>
      <c r="B33" s="43" t="s">
        <v>58</v>
      </c>
      <c r="C33" s="319">
        <f t="shared" ref="C33:L33" si="21">C27+SUM(C29:C31)</f>
        <v>-289</v>
      </c>
      <c r="D33" s="319">
        <f t="shared" si="21"/>
        <v>1935</v>
      </c>
      <c r="E33" s="319">
        <f t="shared" si="21"/>
        <v>5532</v>
      </c>
      <c r="F33" s="319">
        <f t="shared" si="21"/>
        <v>10112</v>
      </c>
      <c r="G33" s="319">
        <f t="shared" si="21"/>
        <v>26929.916800000003</v>
      </c>
      <c r="H33" s="319">
        <f t="shared" ca="1" si="21"/>
        <v>32540.0462513405</v>
      </c>
      <c r="I33" s="319">
        <f t="shared" ca="1" si="21"/>
        <v>42375.562286242406</v>
      </c>
      <c r="J33" s="319">
        <f t="shared" ca="1" si="21"/>
        <v>54870.436830466468</v>
      </c>
      <c r="K33" s="319">
        <f t="shared" ca="1" si="21"/>
        <v>70813.178577931307</v>
      </c>
      <c r="L33" s="319">
        <f t="shared" ca="1" si="21"/>
        <v>90277.031975870574</v>
      </c>
      <c r="M33" s="319">
        <f t="shared" ref="M33:N33" ca="1" si="22">M27+SUM(M29:M31)</f>
        <v>105188.14376681387</v>
      </c>
      <c r="N33" s="319">
        <f t="shared" ca="1" si="22"/>
        <v>117224.06030465862</v>
      </c>
      <c r="O33" s="319">
        <f t="shared" ref="O33" ca="1" si="23">O27+SUM(O29:O31)</f>
        <v>125241.88369977192</v>
      </c>
      <c r="P33" s="3"/>
    </row>
    <row r="34" spans="1:16">
      <c r="A34" s="3"/>
      <c r="B34" s="43" t="s">
        <v>211</v>
      </c>
      <c r="C34" s="72">
        <v>-181</v>
      </c>
      <c r="D34" s="72">
        <v>-327</v>
      </c>
      <c r="E34" s="72">
        <v>-842</v>
      </c>
      <c r="F34" s="72">
        <v>-1457</v>
      </c>
      <c r="G34" s="72">
        <v>-1969</v>
      </c>
      <c r="H34" s="104">
        <f t="shared" ref="H34:O34" ca="1" si="24">-H95*H33</f>
        <v>-3904.8055501608596</v>
      </c>
      <c r="I34" s="104">
        <f t="shared" ca="1" si="24"/>
        <v>-5932.5787200739378</v>
      </c>
      <c r="J34" s="104">
        <f t="shared" ca="1" si="24"/>
        <v>-8230.5655245699691</v>
      </c>
      <c r="K34" s="104">
        <f t="shared" ca="1" si="24"/>
        <v>-11330.108572469009</v>
      </c>
      <c r="L34" s="104">
        <f t="shared" ca="1" si="24"/>
        <v>-16249.865755656703</v>
      </c>
      <c r="M34" s="104">
        <f t="shared" ca="1" si="24"/>
        <v>-21037.628753362776</v>
      </c>
      <c r="N34" s="104">
        <f t="shared" ca="1" si="24"/>
        <v>-25789.293267024896</v>
      </c>
      <c r="O34" s="104">
        <f t="shared" ca="1" si="24"/>
        <v>-31310.47092494298</v>
      </c>
      <c r="P34" s="3"/>
    </row>
    <row r="35" spans="1:16">
      <c r="A35" s="3"/>
      <c r="B35" s="3" t="s">
        <v>212</v>
      </c>
      <c r="C35" s="72">
        <v>-33</v>
      </c>
      <c r="D35" s="72">
        <v>0</v>
      </c>
      <c r="E35" s="72">
        <v>-25</v>
      </c>
      <c r="F35" s="72">
        <v>-6</v>
      </c>
      <c r="G35" s="72">
        <v>-174</v>
      </c>
      <c r="H35" s="6"/>
      <c r="I35" s="3"/>
      <c r="J35" s="3"/>
      <c r="K35" s="3"/>
      <c r="L35" s="62"/>
      <c r="M35" s="62"/>
      <c r="N35" s="62"/>
      <c r="O35" s="62"/>
      <c r="P35" s="3"/>
    </row>
    <row r="36" spans="1:16" ht="15.75" thickBot="1">
      <c r="A36" s="3"/>
      <c r="B36" s="69" t="s">
        <v>213</v>
      </c>
      <c r="C36" s="113">
        <f t="shared" ref="C36:L36" si="25">SUM(C33:C35)</f>
        <v>-503</v>
      </c>
      <c r="D36" s="113">
        <f t="shared" si="25"/>
        <v>1608</v>
      </c>
      <c r="E36" s="113">
        <f t="shared" si="25"/>
        <v>4665</v>
      </c>
      <c r="F36" s="113">
        <f t="shared" si="25"/>
        <v>8649</v>
      </c>
      <c r="G36" s="113">
        <f t="shared" si="25"/>
        <v>24786.916800000003</v>
      </c>
      <c r="H36" s="113">
        <f t="shared" ca="1" si="25"/>
        <v>28635.240701179639</v>
      </c>
      <c r="I36" s="113">
        <f t="shared" ca="1" si="25"/>
        <v>36442.98356616847</v>
      </c>
      <c r="J36" s="113">
        <f t="shared" ca="1" si="25"/>
        <v>46639.8713058965</v>
      </c>
      <c r="K36" s="113">
        <f t="shared" ca="1" si="25"/>
        <v>59483.070005462301</v>
      </c>
      <c r="L36" s="113">
        <f t="shared" ca="1" si="25"/>
        <v>74027.166220213869</v>
      </c>
      <c r="M36" s="113">
        <f t="shared" ref="M36:N36" ca="1" si="26">SUM(M33:M35)</f>
        <v>84150.515013451091</v>
      </c>
      <c r="N36" s="113">
        <f t="shared" ca="1" si="26"/>
        <v>91434.767037633719</v>
      </c>
      <c r="O36" s="113">
        <f t="shared" ref="O36" ca="1" si="27">SUM(O33:O35)</f>
        <v>93931.412774828932</v>
      </c>
      <c r="P36" s="3"/>
    </row>
    <row r="37" spans="1:16" ht="15">
      <c r="A37" s="3"/>
      <c r="B37" s="43" t="s">
        <v>214</v>
      </c>
      <c r="C37" s="72">
        <v>-299</v>
      </c>
      <c r="D37" s="72">
        <v>-425</v>
      </c>
      <c r="E37" s="72">
        <v>-437</v>
      </c>
      <c r="F37" s="72">
        <v>-117</v>
      </c>
      <c r="G37" s="72">
        <v>-29</v>
      </c>
      <c r="H37" s="320"/>
      <c r="I37" s="320"/>
      <c r="J37" s="320"/>
      <c r="K37" s="320"/>
      <c r="L37" s="320"/>
      <c r="M37" s="320"/>
      <c r="N37" s="320"/>
      <c r="O37" s="320"/>
      <c r="P37" s="3"/>
    </row>
    <row r="38" spans="1:16" ht="15">
      <c r="A38" s="3"/>
      <c r="B38" s="43" t="s">
        <v>215</v>
      </c>
      <c r="C38" s="320">
        <f t="shared" ref="C38:L38" si="28">SUM(C36:C37)</f>
        <v>-802</v>
      </c>
      <c r="D38" s="320">
        <f t="shared" si="28"/>
        <v>1183</v>
      </c>
      <c r="E38" s="320">
        <f t="shared" si="28"/>
        <v>4228</v>
      </c>
      <c r="F38" s="320">
        <f t="shared" si="28"/>
        <v>8532</v>
      </c>
      <c r="G38" s="320">
        <f t="shared" si="28"/>
        <v>24757.916800000003</v>
      </c>
      <c r="H38" s="320">
        <f t="shared" ca="1" si="28"/>
        <v>28635.240701179639</v>
      </c>
      <c r="I38" s="320">
        <f t="shared" ca="1" si="28"/>
        <v>36442.98356616847</v>
      </c>
      <c r="J38" s="320">
        <f t="shared" ca="1" si="28"/>
        <v>46639.8713058965</v>
      </c>
      <c r="K38" s="320">
        <f t="shared" ca="1" si="28"/>
        <v>59483.070005462301</v>
      </c>
      <c r="L38" s="320">
        <f t="shared" ca="1" si="28"/>
        <v>74027.166220213869</v>
      </c>
      <c r="M38" s="320">
        <f t="shared" ref="M38:N38" ca="1" si="29">SUM(M36:M37)</f>
        <v>84150.515013451091</v>
      </c>
      <c r="N38" s="320">
        <f t="shared" ca="1" si="29"/>
        <v>91434.767037633719</v>
      </c>
      <c r="O38" s="320">
        <f t="shared" ref="O38" ca="1" si="30">SUM(O36:O37)</f>
        <v>93931.412774828932</v>
      </c>
      <c r="P38" s="3"/>
    </row>
    <row r="39" spans="1:16" ht="15">
      <c r="A39" s="3"/>
      <c r="B39" s="111"/>
      <c r="C39" s="320"/>
      <c r="D39" s="320"/>
      <c r="E39" s="320"/>
      <c r="F39" s="320"/>
      <c r="G39" s="320"/>
      <c r="H39" s="320"/>
      <c r="I39" s="320"/>
      <c r="J39" s="320"/>
      <c r="K39" s="320"/>
      <c r="L39" s="320"/>
      <c r="M39" s="320"/>
      <c r="N39" s="320"/>
      <c r="O39" s="320"/>
      <c r="P39" s="3"/>
    </row>
    <row r="40" spans="1:16">
      <c r="A40" s="3"/>
      <c r="B40" s="3" t="s">
        <v>59</v>
      </c>
      <c r="C40" s="72"/>
      <c r="D40" s="72"/>
      <c r="E40" s="72"/>
      <c r="F40" s="72">
        <v>-17</v>
      </c>
      <c r="G40" s="72">
        <v>-24</v>
      </c>
      <c r="H40" s="3"/>
      <c r="I40" s="3"/>
      <c r="J40" s="3"/>
      <c r="K40" s="3"/>
      <c r="L40" s="6"/>
      <c r="M40" s="3"/>
      <c r="N40" s="3"/>
      <c r="O40" s="3"/>
      <c r="P40" s="3"/>
    </row>
    <row r="41" spans="1:16">
      <c r="A41" s="3"/>
      <c r="B41" s="3" t="s">
        <v>216</v>
      </c>
      <c r="C41" s="72"/>
      <c r="D41" s="72"/>
      <c r="E41" s="72"/>
      <c r="F41" s="72">
        <v>-111</v>
      </c>
      <c r="G41" s="72">
        <v>-156</v>
      </c>
      <c r="H41" s="3"/>
      <c r="I41" s="3"/>
      <c r="J41" s="3"/>
      <c r="K41" s="3"/>
      <c r="L41" s="3"/>
      <c r="M41" s="3"/>
      <c r="N41" s="3"/>
      <c r="O41" s="3"/>
      <c r="P41" s="3"/>
    </row>
    <row r="42" spans="1:16" ht="15">
      <c r="A42" s="3"/>
      <c r="B42" s="321" t="s">
        <v>60</v>
      </c>
      <c r="C42" s="322">
        <f t="shared" ref="C42:L42" si="31">SUM(C38:C41)</f>
        <v>-802</v>
      </c>
      <c r="D42" s="322">
        <f t="shared" si="31"/>
        <v>1183</v>
      </c>
      <c r="E42" s="322">
        <f t="shared" si="31"/>
        <v>4228</v>
      </c>
      <c r="F42" s="322">
        <f t="shared" si="31"/>
        <v>8404</v>
      </c>
      <c r="G42" s="322">
        <f t="shared" si="31"/>
        <v>24577.916800000003</v>
      </c>
      <c r="H42" s="322">
        <f t="shared" ca="1" si="31"/>
        <v>28635.240701179639</v>
      </c>
      <c r="I42" s="322">
        <f t="shared" ca="1" si="31"/>
        <v>36442.98356616847</v>
      </c>
      <c r="J42" s="322">
        <f t="shared" ca="1" si="31"/>
        <v>46639.8713058965</v>
      </c>
      <c r="K42" s="322">
        <f t="shared" ca="1" si="31"/>
        <v>59483.070005462301</v>
      </c>
      <c r="L42" s="322">
        <f t="shared" ca="1" si="31"/>
        <v>74027.166220213869</v>
      </c>
      <c r="M42" s="322">
        <f t="shared" ref="M42:N42" ca="1" si="32">SUM(M38:M41)</f>
        <v>84150.515013451091</v>
      </c>
      <c r="N42" s="322">
        <f t="shared" ca="1" si="32"/>
        <v>91434.767037633719</v>
      </c>
      <c r="O42" s="322">
        <f ca="1">SUM(O38:O41)</f>
        <v>93931.412774828932</v>
      </c>
      <c r="P42" s="3"/>
    </row>
    <row r="43" spans="1:16">
      <c r="A43" s="3"/>
      <c r="B43" s="3"/>
      <c r="C43" s="62"/>
      <c r="D43" s="62"/>
      <c r="E43" s="62"/>
      <c r="F43" s="62"/>
      <c r="G43" s="62"/>
      <c r="H43" s="3"/>
      <c r="I43" s="3"/>
      <c r="J43" s="3"/>
      <c r="K43" s="3"/>
      <c r="L43" s="3"/>
      <c r="M43" s="3"/>
      <c r="N43" s="3"/>
      <c r="O43" s="3"/>
      <c r="P43" s="3"/>
    </row>
    <row r="44" spans="1:16" ht="15">
      <c r="A44" s="3"/>
      <c r="B44" s="230" t="s">
        <v>84</v>
      </c>
      <c r="C44" s="230"/>
      <c r="D44" s="230"/>
      <c r="E44" s="231"/>
      <c r="F44" s="231"/>
      <c r="G44" s="231"/>
      <c r="H44" s="231"/>
      <c r="I44" s="231"/>
      <c r="J44" s="231"/>
      <c r="K44" s="231"/>
      <c r="L44" s="231"/>
      <c r="M44" s="231"/>
      <c r="N44" s="231"/>
      <c r="O44" s="231"/>
      <c r="P44" s="3"/>
    </row>
    <row r="45" spans="1:16" ht="15">
      <c r="A45" s="99"/>
      <c r="B45" s="414" t="s">
        <v>333</v>
      </c>
      <c r="C45" s="414"/>
      <c r="D45" s="414"/>
      <c r="E45" s="415"/>
      <c r="F45" s="415"/>
      <c r="G45" s="415"/>
      <c r="H45" s="249">
        <f>H27</f>
        <v>33072.039440000008</v>
      </c>
      <c r="I45" s="249">
        <f t="shared" ref="I45:O45" si="33">I27</f>
        <v>41871.298057600005</v>
      </c>
      <c r="J45" s="249">
        <f t="shared" si="33"/>
        <v>53259.512940128014</v>
      </c>
      <c r="K45" s="249">
        <f t="shared" si="33"/>
        <v>68041.952128363846</v>
      </c>
      <c r="L45" s="249">
        <f t="shared" si="33"/>
        <v>86110.173753048453</v>
      </c>
      <c r="M45" s="249">
        <f t="shared" si="33"/>
        <v>99366.75381826071</v>
      </c>
      <c r="N45" s="249">
        <f t="shared" si="33"/>
        <v>109557.77226717066</v>
      </c>
      <c r="O45" s="249">
        <f t="shared" si="33"/>
        <v>115580.31997662294</v>
      </c>
      <c r="P45" s="99"/>
    </row>
    <row r="46" spans="1:16" ht="15">
      <c r="A46" s="99"/>
      <c r="B46" s="416" t="s">
        <v>334</v>
      </c>
      <c r="C46" s="414"/>
      <c r="D46" s="414"/>
      <c r="E46" s="415"/>
      <c r="F46" s="415"/>
      <c r="G46" s="415"/>
      <c r="H46" s="249">
        <f>H92</f>
        <v>2391.5731000000005</v>
      </c>
      <c r="I46" s="249">
        <f t="shared" ref="I46:O46" si="34">I92</f>
        <v>3027.8831240000004</v>
      </c>
      <c r="J46" s="249">
        <f t="shared" si="34"/>
        <v>3851.411059720001</v>
      </c>
      <c r="K46" s="249">
        <f t="shared" si="34"/>
        <v>4920.3891001916018</v>
      </c>
      <c r="L46" s="249">
        <f t="shared" si="34"/>
        <v>6226.9753747039167</v>
      </c>
      <c r="M46" s="249">
        <f t="shared" si="34"/>
        <v>7185.6123628907544</v>
      </c>
      <c r="N46" s="249">
        <f t="shared" si="34"/>
        <v>7922.5661763449862</v>
      </c>
      <c r="O46" s="249">
        <f t="shared" si="34"/>
        <v>8358.0809900450477</v>
      </c>
      <c r="P46" s="99"/>
    </row>
    <row r="47" spans="1:16" ht="15">
      <c r="A47" s="99"/>
      <c r="B47" s="416" t="s">
        <v>338</v>
      </c>
      <c r="C47" s="414"/>
      <c r="D47" s="414"/>
      <c r="E47" s="415"/>
      <c r="F47" s="415"/>
      <c r="G47" s="415"/>
      <c r="H47" s="249">
        <f>CF!H12</f>
        <v>2690.8610488695163</v>
      </c>
      <c r="I47" s="249">
        <f>CF!I12</f>
        <v>5069.3462106130846</v>
      </c>
      <c r="J47" s="249">
        <f>CF!J12</f>
        <v>8088.5234975863787</v>
      </c>
      <c r="K47" s="249">
        <f>CF!K12</f>
        <v>11938.28178693936</v>
      </c>
      <c r="L47" s="249">
        <f>CF!L12</f>
        <v>16830.625206685076</v>
      </c>
      <c r="M47" s="249">
        <f>CF!M12</f>
        <v>22717.127393597591</v>
      </c>
      <c r="N47" s="249">
        <f>CF!N12</f>
        <v>29347.788661310937</v>
      </c>
      <c r="O47" s="249">
        <f>CF!O12</f>
        <v>36493.021708374879</v>
      </c>
      <c r="P47" s="99"/>
    </row>
    <row r="48" spans="1:16" ht="15.75" thickBot="1">
      <c r="A48" s="99"/>
      <c r="B48" s="418" t="s">
        <v>335</v>
      </c>
      <c r="C48" s="418"/>
      <c r="D48" s="418"/>
      <c r="E48" s="419"/>
      <c r="F48" s="419"/>
      <c r="G48" s="419"/>
      <c r="H48" s="419">
        <f>SUM(H45:H47)</f>
        <v>38154.473588869529</v>
      </c>
      <c r="I48" s="419">
        <f t="shared" ref="I48:O48" si="35">SUM(I45:I47)</f>
        <v>49968.527392213087</v>
      </c>
      <c r="J48" s="419">
        <f t="shared" si="35"/>
        <v>65199.44749743439</v>
      </c>
      <c r="K48" s="419">
        <f t="shared" si="35"/>
        <v>84900.623015494813</v>
      </c>
      <c r="L48" s="419">
        <f t="shared" si="35"/>
        <v>109167.77433443745</v>
      </c>
      <c r="M48" s="419">
        <f t="shared" si="35"/>
        <v>129269.49357474905</v>
      </c>
      <c r="N48" s="419">
        <f t="shared" si="35"/>
        <v>146828.12710482659</v>
      </c>
      <c r="O48" s="419">
        <f t="shared" si="35"/>
        <v>160431.42267504285</v>
      </c>
      <c r="P48" s="99"/>
    </row>
    <row r="49" spans="1:16" ht="15.75" thickTop="1">
      <c r="A49" s="99"/>
      <c r="B49" s="414"/>
      <c r="C49" s="414"/>
      <c r="D49" s="414"/>
      <c r="E49" s="415"/>
      <c r="F49" s="415"/>
      <c r="G49" s="415"/>
      <c r="H49" s="415"/>
      <c r="I49" s="415"/>
      <c r="J49" s="415"/>
      <c r="K49" s="415"/>
      <c r="L49" s="415"/>
      <c r="M49" s="415"/>
      <c r="N49" s="415"/>
      <c r="O49" s="415"/>
      <c r="P49" s="99"/>
    </row>
    <row r="50" spans="1:16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6"/>
      <c r="P50" s="6"/>
    </row>
    <row r="51" spans="1:16" ht="15">
      <c r="A51" s="3"/>
      <c r="B51" s="103" t="s">
        <v>103</v>
      </c>
      <c r="C51" s="3"/>
      <c r="D51" s="3"/>
      <c r="E51" s="3"/>
      <c r="F51" s="3"/>
      <c r="G51" s="13"/>
      <c r="H51" s="3"/>
      <c r="I51" s="3"/>
      <c r="J51" s="3"/>
      <c r="K51" s="3"/>
      <c r="L51" s="3"/>
      <c r="M51" s="3"/>
      <c r="N51" s="3"/>
      <c r="O51" s="6"/>
      <c r="P51" s="6"/>
    </row>
    <row r="52" spans="1:16" ht="15">
      <c r="A52" s="3"/>
      <c r="B52" s="10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</row>
    <row r="53" spans="1:16" ht="15">
      <c r="A53" s="3"/>
      <c r="B53" s="103" t="s">
        <v>52</v>
      </c>
      <c r="C53" s="3"/>
      <c r="D53" s="3"/>
      <c r="E53" s="3"/>
      <c r="F53" s="3"/>
      <c r="G53" s="3"/>
      <c r="H53" s="3"/>
      <c r="I53" s="3"/>
      <c r="J53" s="3"/>
      <c r="K53" s="3"/>
      <c r="L53" s="6"/>
      <c r="M53" s="3"/>
      <c r="N53" s="3"/>
      <c r="O53" s="3"/>
      <c r="P53" s="3"/>
    </row>
    <row r="54" spans="1:16" ht="15">
      <c r="A54" s="3"/>
      <c r="B54" s="10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</row>
    <row r="55" spans="1:16" ht="15">
      <c r="A55" s="3"/>
      <c r="B55" s="102" t="s">
        <v>198</v>
      </c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</row>
    <row r="56" spans="1:16">
      <c r="A56" s="3"/>
      <c r="B56" s="3" t="s">
        <v>296</v>
      </c>
      <c r="C56" s="3"/>
      <c r="D56" s="3"/>
      <c r="E56" s="3">
        <v>13422</v>
      </c>
      <c r="F56" s="3">
        <v>26970</v>
      </c>
      <c r="G56" s="99">
        <f>33461+11960</f>
        <v>45421</v>
      </c>
      <c r="H56" s="62">
        <f t="shared" ref="H56:O56" si="36">G56*(1+H57)</f>
        <v>58138.880000000005</v>
      </c>
      <c r="I56" s="62">
        <f t="shared" si="36"/>
        <v>74417.766400000008</v>
      </c>
      <c r="J56" s="62">
        <f t="shared" si="36"/>
        <v>95254.740992000006</v>
      </c>
      <c r="K56" s="62">
        <f t="shared" si="36"/>
        <v>121926.06846976001</v>
      </c>
      <c r="L56" s="62">
        <f t="shared" si="36"/>
        <v>153626.84627189761</v>
      </c>
      <c r="M56" s="62">
        <f t="shared" si="36"/>
        <v>176670.87321268223</v>
      </c>
      <c r="N56" s="62">
        <f t="shared" si="36"/>
        <v>194337.96053395048</v>
      </c>
      <c r="O56" s="62">
        <f t="shared" si="36"/>
        <v>204054.85856064802</v>
      </c>
      <c r="P56" s="3"/>
    </row>
    <row r="57" spans="1:16">
      <c r="A57" s="3"/>
      <c r="B57" s="360" t="s">
        <v>302</v>
      </c>
      <c r="C57" s="3"/>
      <c r="D57" s="3"/>
      <c r="E57" s="3"/>
      <c r="F57" s="359">
        <f>F56/E56-1</f>
        <v>1.009387572641931</v>
      </c>
      <c r="G57" s="359">
        <f>G56/F56-1</f>
        <v>0.6841305153874675</v>
      </c>
      <c r="H57" s="395">
        <v>0.28000000000000003</v>
      </c>
      <c r="I57" s="395">
        <v>0.28000000000000003</v>
      </c>
      <c r="J57" s="395">
        <v>0.28000000000000003</v>
      </c>
      <c r="K57" s="395">
        <v>0.28000000000000003</v>
      </c>
      <c r="L57" s="395">
        <v>0.26</v>
      </c>
      <c r="M57" s="395">
        <v>0.15</v>
      </c>
      <c r="N57" s="395">
        <v>0.1</v>
      </c>
      <c r="O57" s="395">
        <v>0.05</v>
      </c>
      <c r="P57" s="3"/>
    </row>
    <row r="58" spans="1:16">
      <c r="A58" s="3"/>
      <c r="B58" s="3" t="s">
        <v>297</v>
      </c>
      <c r="C58" s="3"/>
      <c r="D58" s="3"/>
      <c r="E58" s="3">
        <v>2215</v>
      </c>
      <c r="F58" s="3">
        <v>2197</v>
      </c>
      <c r="G58" s="99">
        <f>1706+610</f>
        <v>2316</v>
      </c>
      <c r="H58" s="62">
        <f t="shared" ref="H58:O58" si="37">G58*(1+H59)</f>
        <v>2431.8000000000002</v>
      </c>
      <c r="I58" s="62">
        <f t="shared" si="37"/>
        <v>2553.3900000000003</v>
      </c>
      <c r="J58" s="62">
        <f t="shared" si="37"/>
        <v>2681.0595000000003</v>
      </c>
      <c r="K58" s="62">
        <f t="shared" si="37"/>
        <v>2815.1124750000004</v>
      </c>
      <c r="L58" s="62">
        <f t="shared" si="37"/>
        <v>2955.8680987500006</v>
      </c>
      <c r="M58" s="62">
        <f t="shared" si="37"/>
        <v>3103.661503687501</v>
      </c>
      <c r="N58" s="62">
        <f t="shared" si="37"/>
        <v>3258.8445788718764</v>
      </c>
      <c r="O58" s="62">
        <f t="shared" si="37"/>
        <v>3421.7868078154702</v>
      </c>
      <c r="P58" s="3"/>
    </row>
    <row r="59" spans="1:16">
      <c r="A59" s="3"/>
      <c r="B59" s="360" t="s">
        <v>302</v>
      </c>
      <c r="C59" s="3"/>
      <c r="D59" s="3"/>
      <c r="E59" s="3"/>
      <c r="F59" s="359">
        <f>F58/E58-1</f>
        <v>-8.1264108352144815E-3</v>
      </c>
      <c r="G59" s="359">
        <f>G58/F58-1</f>
        <v>5.4164770141101437E-2</v>
      </c>
      <c r="H59" s="395">
        <v>0.05</v>
      </c>
      <c r="I59" s="395">
        <v>0.05</v>
      </c>
      <c r="J59" s="395">
        <v>0.05</v>
      </c>
      <c r="K59" s="395">
        <v>0.05</v>
      </c>
      <c r="L59" s="395">
        <v>0.05</v>
      </c>
      <c r="M59" s="395">
        <v>0.05</v>
      </c>
      <c r="N59" s="395">
        <v>0.05</v>
      </c>
      <c r="O59" s="395">
        <v>0.05</v>
      </c>
      <c r="P59" s="3"/>
    </row>
    <row r="60" spans="1:16" ht="15">
      <c r="A60" s="3"/>
      <c r="B60" s="90" t="s">
        <v>298</v>
      </c>
      <c r="C60" s="90"/>
      <c r="D60" s="90"/>
      <c r="E60" s="112">
        <f t="shared" ref="E60:L60" si="38">SUM(E56:E58)</f>
        <v>15637</v>
      </c>
      <c r="F60" s="112">
        <f t="shared" si="38"/>
        <v>29168.009387572642</v>
      </c>
      <c r="G60" s="112">
        <f t="shared" si="38"/>
        <v>47737.684130515387</v>
      </c>
      <c r="H60" s="112">
        <f t="shared" si="38"/>
        <v>60570.960000000006</v>
      </c>
      <c r="I60" s="112">
        <f t="shared" si="38"/>
        <v>76971.436400000006</v>
      </c>
      <c r="J60" s="112">
        <f t="shared" si="38"/>
        <v>97936.080492000008</v>
      </c>
      <c r="K60" s="112">
        <f t="shared" si="38"/>
        <v>124741.46094476001</v>
      </c>
      <c r="L60" s="112">
        <f t="shared" si="38"/>
        <v>156582.97437064763</v>
      </c>
      <c r="M60" s="112">
        <f t="shared" ref="M60:N60" si="39">SUM(M56:M58)</f>
        <v>179774.68471636972</v>
      </c>
      <c r="N60" s="112">
        <f t="shared" si="39"/>
        <v>197596.90511282237</v>
      </c>
      <c r="O60" s="112">
        <f t="shared" ref="O60" si="40">SUM(O56:O58)</f>
        <v>207476.69536846346</v>
      </c>
      <c r="P60" s="3"/>
    </row>
    <row r="61" spans="1:16">
      <c r="A61" s="3"/>
      <c r="B61" s="3"/>
      <c r="C61" s="3"/>
      <c r="D61" s="3"/>
      <c r="E61" s="3"/>
      <c r="F61" s="359">
        <f t="shared" ref="F61:O61" si="41">F60/E60-1</f>
        <v>0.86532003501775545</v>
      </c>
      <c r="G61" s="359">
        <f t="shared" si="41"/>
        <v>0.63664525392173532</v>
      </c>
      <c r="H61" s="359">
        <f t="shared" si="41"/>
        <v>0.26882904152615139</v>
      </c>
      <c r="I61" s="359">
        <f t="shared" si="41"/>
        <v>0.27076467667014015</v>
      </c>
      <c r="J61" s="359">
        <f t="shared" si="41"/>
        <v>0.27236914201590756</v>
      </c>
      <c r="K61" s="359">
        <f t="shared" si="41"/>
        <v>0.27370281022171006</v>
      </c>
      <c r="L61" s="359">
        <f t="shared" si="41"/>
        <v>0.25526006497541487</v>
      </c>
      <c r="M61" s="359">
        <f t="shared" si="41"/>
        <v>0.14811131567104474</v>
      </c>
      <c r="N61" s="359">
        <f t="shared" si="41"/>
        <v>9.9136429717959107E-2</v>
      </c>
      <c r="O61" s="359">
        <f t="shared" si="41"/>
        <v>4.9999721655559437E-2</v>
      </c>
      <c r="P61" s="3"/>
    </row>
    <row r="62" spans="1:16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</row>
    <row r="63" spans="1:16">
      <c r="A63" s="3"/>
      <c r="B63" s="3" t="s">
        <v>199</v>
      </c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</row>
    <row r="64" spans="1:16">
      <c r="A64" s="3"/>
      <c r="B64" s="3" t="s">
        <v>296</v>
      </c>
      <c r="C64" s="3"/>
      <c r="D64" s="3"/>
      <c r="E64" s="3">
        <v>223</v>
      </c>
      <c r="F64" s="3">
        <v>392</v>
      </c>
      <c r="G64" s="99">
        <f>653+220</f>
        <v>873</v>
      </c>
      <c r="H64" s="62">
        <f t="shared" ref="H64:O64" si="42">G64*(1+H65)</f>
        <v>1309.5</v>
      </c>
      <c r="I64" s="62">
        <f t="shared" si="42"/>
        <v>1964.25</v>
      </c>
      <c r="J64" s="62">
        <f t="shared" si="42"/>
        <v>2946.375</v>
      </c>
      <c r="K64" s="62">
        <f t="shared" si="42"/>
        <v>4419.5625</v>
      </c>
      <c r="L64" s="62">
        <f t="shared" si="42"/>
        <v>6629.34375</v>
      </c>
      <c r="M64" s="62">
        <f t="shared" si="42"/>
        <v>8286.6796875</v>
      </c>
      <c r="N64" s="62">
        <f t="shared" si="42"/>
        <v>9529.681640625</v>
      </c>
      <c r="O64" s="62">
        <f t="shared" si="42"/>
        <v>10482.6498046875</v>
      </c>
      <c r="P64" s="3"/>
    </row>
    <row r="65" spans="1:16">
      <c r="A65" s="3"/>
      <c r="B65" s="360" t="s">
        <v>302</v>
      </c>
      <c r="C65" s="3"/>
      <c r="D65" s="3"/>
      <c r="E65" s="3"/>
      <c r="F65" s="359">
        <f>F64/E64-1</f>
        <v>0.75784753363228696</v>
      </c>
      <c r="G65" s="359">
        <f>G64/F64-1</f>
        <v>1.2270408163265305</v>
      </c>
      <c r="H65" s="395">
        <v>0.5</v>
      </c>
      <c r="I65" s="395">
        <v>0.5</v>
      </c>
      <c r="J65" s="395">
        <v>0.5</v>
      </c>
      <c r="K65" s="395">
        <v>0.5</v>
      </c>
      <c r="L65" s="395">
        <v>0.5</v>
      </c>
      <c r="M65" s="395">
        <v>0.25</v>
      </c>
      <c r="N65" s="395">
        <v>0.15</v>
      </c>
      <c r="O65" s="395">
        <v>0.1</v>
      </c>
      <c r="P65" s="3"/>
    </row>
    <row r="66" spans="1:16">
      <c r="A66" s="3"/>
      <c r="B66" s="3" t="s">
        <v>297</v>
      </c>
      <c r="C66" s="3"/>
      <c r="D66" s="3"/>
      <c r="E66" s="3">
        <v>3542</v>
      </c>
      <c r="F66" s="3">
        <v>3768</v>
      </c>
      <c r="G66" s="99">
        <f>2904+980</f>
        <v>3884</v>
      </c>
      <c r="H66" s="62">
        <f t="shared" ref="H66:O66" si="43">G66*(1+H67)</f>
        <v>4078.2000000000003</v>
      </c>
      <c r="I66" s="62">
        <f t="shared" si="43"/>
        <v>4282.1100000000006</v>
      </c>
      <c r="J66" s="62">
        <f t="shared" si="43"/>
        <v>4496.2155000000012</v>
      </c>
      <c r="K66" s="62">
        <f t="shared" si="43"/>
        <v>4721.0262750000011</v>
      </c>
      <c r="L66" s="62">
        <f t="shared" si="43"/>
        <v>4957.0775887500013</v>
      </c>
      <c r="M66" s="62">
        <f t="shared" si="43"/>
        <v>5204.9314681875012</v>
      </c>
      <c r="N66" s="62">
        <f t="shared" si="43"/>
        <v>5465.1780415968769</v>
      </c>
      <c r="O66" s="62">
        <f t="shared" si="43"/>
        <v>5738.4369436767211</v>
      </c>
      <c r="P66" s="3"/>
    </row>
    <row r="67" spans="1:16">
      <c r="A67" s="3"/>
      <c r="B67" s="360" t="s">
        <v>302</v>
      </c>
      <c r="C67" s="3"/>
      <c r="D67" s="3"/>
      <c r="E67" s="3"/>
      <c r="F67" s="359">
        <f>F66/E66-1</f>
        <v>6.380575945793332E-2</v>
      </c>
      <c r="G67" s="359">
        <f>G66/F66-1</f>
        <v>3.0785562632696495E-2</v>
      </c>
      <c r="H67" s="395">
        <v>0.05</v>
      </c>
      <c r="I67" s="395">
        <v>0.05</v>
      </c>
      <c r="J67" s="395">
        <v>0.05</v>
      </c>
      <c r="K67" s="395">
        <v>0.05</v>
      </c>
      <c r="L67" s="395">
        <v>0.05</v>
      </c>
      <c r="M67" s="395">
        <v>0.05</v>
      </c>
      <c r="N67" s="395">
        <v>0.05</v>
      </c>
      <c r="O67" s="395">
        <v>0.05</v>
      </c>
      <c r="P67" s="3"/>
    </row>
    <row r="68" spans="1:16" ht="15">
      <c r="A68" s="3"/>
      <c r="B68" s="90" t="s">
        <v>299</v>
      </c>
      <c r="C68" s="90"/>
      <c r="D68" s="90"/>
      <c r="E68" s="112">
        <f t="shared" ref="E68:L68" si="44">SUM(E64:E66)</f>
        <v>3765</v>
      </c>
      <c r="F68" s="112">
        <f t="shared" si="44"/>
        <v>4160.7578475336322</v>
      </c>
      <c r="G68" s="112">
        <f t="shared" si="44"/>
        <v>4758.2270408163267</v>
      </c>
      <c r="H68" s="112">
        <f t="shared" si="44"/>
        <v>5388.2000000000007</v>
      </c>
      <c r="I68" s="112">
        <f t="shared" si="44"/>
        <v>6246.8600000000006</v>
      </c>
      <c r="J68" s="112">
        <f t="shared" si="44"/>
        <v>7443.0905000000012</v>
      </c>
      <c r="K68" s="112">
        <f t="shared" si="44"/>
        <v>9141.0887750000002</v>
      </c>
      <c r="L68" s="112">
        <f t="shared" si="44"/>
        <v>11586.921338750002</v>
      </c>
      <c r="M68" s="112">
        <f t="shared" ref="M68:N68" si="45">SUM(M64:M66)</f>
        <v>13491.8611556875</v>
      </c>
      <c r="N68" s="112">
        <f t="shared" si="45"/>
        <v>14995.009682221877</v>
      </c>
      <c r="O68" s="112">
        <f t="shared" ref="O68" si="46">SUM(O64:O66)</f>
        <v>16221.186748364222</v>
      </c>
      <c r="P68" s="3"/>
    </row>
    <row r="69" spans="1:16">
      <c r="A69" s="3"/>
      <c r="B69" s="360" t="s">
        <v>302</v>
      </c>
      <c r="C69" s="3"/>
      <c r="D69" s="3"/>
      <c r="E69" s="3"/>
      <c r="F69" s="359">
        <f t="shared" ref="F69:O69" si="47">F68/E68-1</f>
        <v>0.10511496614439109</v>
      </c>
      <c r="G69" s="359">
        <f t="shared" si="47"/>
        <v>0.1435962426020192</v>
      </c>
      <c r="H69" s="359">
        <f t="shared" si="47"/>
        <v>0.13239657413984918</v>
      </c>
      <c r="I69" s="359">
        <f t="shared" si="47"/>
        <v>0.15935934078170821</v>
      </c>
      <c r="J69" s="359">
        <f t="shared" si="47"/>
        <v>0.19149308612647009</v>
      </c>
      <c r="K69" s="359">
        <f t="shared" si="47"/>
        <v>0.22813081138809199</v>
      </c>
      <c r="L69" s="359">
        <f t="shared" si="47"/>
        <v>0.26756468774694753</v>
      </c>
      <c r="M69" s="359">
        <f t="shared" si="47"/>
        <v>0.16440431079538187</v>
      </c>
      <c r="N69" s="359">
        <f t="shared" si="47"/>
        <v>0.11141150277111489</v>
      </c>
      <c r="O69" s="359">
        <f t="shared" si="47"/>
        <v>8.1772342407761434E-2</v>
      </c>
      <c r="P69" s="3"/>
    </row>
    <row r="70" spans="1:16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</row>
    <row r="71" spans="1:16">
      <c r="A71" s="3"/>
      <c r="B71" s="3" t="s">
        <v>300</v>
      </c>
      <c r="C71" s="3"/>
      <c r="D71" s="3"/>
      <c r="E71" s="3">
        <v>515</v>
      </c>
      <c r="F71" s="3">
        <v>650</v>
      </c>
      <c r="G71" s="3">
        <v>560</v>
      </c>
      <c r="H71" s="62">
        <f t="shared" ref="H71:O71" si="48">G71*(1+H72)</f>
        <v>588</v>
      </c>
      <c r="I71" s="62">
        <f t="shared" si="48"/>
        <v>617.4</v>
      </c>
      <c r="J71" s="62">
        <f t="shared" si="48"/>
        <v>648.27</v>
      </c>
      <c r="K71" s="62">
        <f t="shared" si="48"/>
        <v>680.68349999999998</v>
      </c>
      <c r="L71" s="62">
        <f t="shared" si="48"/>
        <v>714.71767499999999</v>
      </c>
      <c r="M71" s="62">
        <f t="shared" si="48"/>
        <v>750.45355875000007</v>
      </c>
      <c r="N71" s="62">
        <f t="shared" si="48"/>
        <v>787.97623668750009</v>
      </c>
      <c r="O71" s="62">
        <f t="shared" si="48"/>
        <v>827.3750485218751</v>
      </c>
      <c r="P71" s="3"/>
    </row>
    <row r="72" spans="1:16">
      <c r="A72" s="3"/>
      <c r="B72" s="360" t="s">
        <v>302</v>
      </c>
      <c r="C72" s="3"/>
      <c r="D72" s="3"/>
      <c r="E72" s="3"/>
      <c r="F72" s="359">
        <f>F71/E71-1</f>
        <v>0.26213592233009719</v>
      </c>
      <c r="G72" s="359">
        <f>G71/F71-1</f>
        <v>-0.13846153846153841</v>
      </c>
      <c r="H72" s="395">
        <v>0.05</v>
      </c>
      <c r="I72" s="395">
        <v>0.05</v>
      </c>
      <c r="J72" s="395">
        <v>0.05</v>
      </c>
      <c r="K72" s="395">
        <v>0.05</v>
      </c>
      <c r="L72" s="395">
        <v>0.05</v>
      </c>
      <c r="M72" s="395">
        <v>0.05</v>
      </c>
      <c r="N72" s="395">
        <v>0.05</v>
      </c>
      <c r="O72" s="395">
        <v>0.05</v>
      </c>
      <c r="P72" s="3"/>
    </row>
    <row r="73" spans="1:16">
      <c r="A73" s="3"/>
      <c r="B73" s="3" t="s">
        <v>301</v>
      </c>
      <c r="C73" s="3"/>
      <c r="D73" s="3"/>
      <c r="E73" s="3">
        <v>108</v>
      </c>
      <c r="F73" s="3">
        <v>540</v>
      </c>
      <c r="G73" s="3">
        <v>1189</v>
      </c>
      <c r="H73" s="62">
        <f t="shared" ref="H73:O73" si="49">G73*(1+H74)</f>
        <v>1783.5</v>
      </c>
      <c r="I73" s="62">
        <f t="shared" si="49"/>
        <v>2675.25</v>
      </c>
      <c r="J73" s="62">
        <f t="shared" si="49"/>
        <v>4012.875</v>
      </c>
      <c r="K73" s="62">
        <f t="shared" si="49"/>
        <v>6019.3125</v>
      </c>
      <c r="L73" s="62">
        <f t="shared" si="49"/>
        <v>9028.96875</v>
      </c>
      <c r="M73" s="62">
        <f t="shared" si="49"/>
        <v>11286.2109375</v>
      </c>
      <c r="N73" s="62">
        <f t="shared" si="49"/>
        <v>12979.142578124998</v>
      </c>
      <c r="O73" s="62">
        <f t="shared" si="49"/>
        <v>14277.056835937499</v>
      </c>
      <c r="P73" s="3"/>
    </row>
    <row r="74" spans="1:16">
      <c r="A74" s="3"/>
      <c r="B74" s="360" t="s">
        <v>302</v>
      </c>
      <c r="C74" s="3"/>
      <c r="D74" s="3"/>
      <c r="E74" s="3"/>
      <c r="F74" s="359">
        <f>F73/E73-1</f>
        <v>4</v>
      </c>
      <c r="G74" s="359">
        <f>G73/F73-1</f>
        <v>1.2018518518518517</v>
      </c>
      <c r="H74" s="395">
        <v>0.5</v>
      </c>
      <c r="I74" s="395">
        <v>0.5</v>
      </c>
      <c r="J74" s="395">
        <v>0.5</v>
      </c>
      <c r="K74" s="395">
        <v>0.5</v>
      </c>
      <c r="L74" s="395">
        <v>0.5</v>
      </c>
      <c r="M74" s="395">
        <v>0.25</v>
      </c>
      <c r="N74" s="395">
        <v>0.15</v>
      </c>
      <c r="O74" s="395">
        <v>0.1</v>
      </c>
      <c r="P74" s="3"/>
    </row>
    <row r="75" spans="1:16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</row>
    <row r="76" spans="1:16" ht="15">
      <c r="A76" s="3"/>
      <c r="B76" s="88" t="s">
        <v>18</v>
      </c>
      <c r="C76" s="88"/>
      <c r="D76" s="88"/>
      <c r="E76" s="112">
        <f t="shared" ref="E76:L76" si="50">E60+E68+E71+E73</f>
        <v>20025</v>
      </c>
      <c r="F76" s="112">
        <f t="shared" si="50"/>
        <v>34518.767235106272</v>
      </c>
      <c r="G76" s="112">
        <f t="shared" si="50"/>
        <v>54244.911171331711</v>
      </c>
      <c r="H76" s="112">
        <f t="shared" si="50"/>
        <v>68330.66</v>
      </c>
      <c r="I76" s="112">
        <f t="shared" si="50"/>
        <v>86510.946400000001</v>
      </c>
      <c r="J76" s="112">
        <f t="shared" si="50"/>
        <v>110040.31599200002</v>
      </c>
      <c r="K76" s="112">
        <f t="shared" si="50"/>
        <v>140582.54571976003</v>
      </c>
      <c r="L76" s="112">
        <f t="shared" si="50"/>
        <v>177913.58213439761</v>
      </c>
      <c r="M76" s="112">
        <f t="shared" ref="M76:N76" si="51">M60+M68+M71+M73</f>
        <v>205303.21036830725</v>
      </c>
      <c r="N76" s="112">
        <f t="shared" si="51"/>
        <v>226359.03360985673</v>
      </c>
      <c r="O76" s="112">
        <f t="shared" ref="O76" si="52">O60+O68+O71+O73</f>
        <v>238802.31400128704</v>
      </c>
      <c r="P76" s="3"/>
    </row>
    <row r="77" spans="1:16">
      <c r="A77" s="3"/>
      <c r="B77" s="360" t="s">
        <v>302</v>
      </c>
      <c r="C77" s="3"/>
      <c r="D77" s="3"/>
      <c r="E77" s="3"/>
      <c r="F77" s="359">
        <f t="shared" ref="F77:O77" si="53">F76/E76-1</f>
        <v>0.72378363221504483</v>
      </c>
      <c r="G77" s="359">
        <f t="shared" si="53"/>
        <v>0.57146142566075064</v>
      </c>
      <c r="H77" s="359">
        <f t="shared" si="53"/>
        <v>0.25966949755302715</v>
      </c>
      <c r="I77" s="359">
        <f t="shared" si="53"/>
        <v>0.26606338062591517</v>
      </c>
      <c r="J77" s="359">
        <f t="shared" si="53"/>
        <v>0.27198141473574289</v>
      </c>
      <c r="K77" s="359">
        <f t="shared" si="53"/>
        <v>0.27755490751208356</v>
      </c>
      <c r="L77" s="359">
        <f t="shared" si="53"/>
        <v>0.26554531519904323</v>
      </c>
      <c r="M77" s="359">
        <f t="shared" si="53"/>
        <v>0.15394905720699414</v>
      </c>
      <c r="N77" s="359">
        <f t="shared" si="53"/>
        <v>0.10255963949017666</v>
      </c>
      <c r="O77" s="359">
        <f t="shared" si="53"/>
        <v>5.4971432741125037E-2</v>
      </c>
      <c r="P77" s="3"/>
    </row>
    <row r="78" spans="1:16" ht="15">
      <c r="A78" s="3"/>
      <c r="B78" s="103"/>
      <c r="C78" s="3"/>
      <c r="D78" s="3"/>
      <c r="E78" s="13"/>
      <c r="F78" s="13"/>
      <c r="G78" s="13"/>
      <c r="H78" s="3"/>
      <c r="I78" s="3"/>
      <c r="J78" s="3"/>
      <c r="K78" s="3"/>
      <c r="L78" s="3"/>
      <c r="M78" s="3"/>
      <c r="N78" s="3"/>
      <c r="O78" s="3"/>
      <c r="P78" s="3"/>
    </row>
    <row r="79" spans="1:16" ht="15">
      <c r="A79" s="3"/>
      <c r="B79" s="10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</row>
    <row r="80" spans="1:16">
      <c r="A80" s="3"/>
      <c r="B80" s="3" t="s">
        <v>53</v>
      </c>
      <c r="C80" s="13">
        <f>-C14</f>
        <v>1634</v>
      </c>
      <c r="D80" s="13">
        <f>-D14</f>
        <v>3497</v>
      </c>
      <c r="E80" s="13">
        <f>-E14</f>
        <v>6554</v>
      </c>
      <c r="F80" s="13">
        <f>-F14</f>
        <v>9719</v>
      </c>
      <c r="G80" s="13">
        <f>-G14</f>
        <v>13127.9202</v>
      </c>
      <c r="H80" s="13">
        <f t="shared" ref="H80:O80" si="54">H81*H$12</f>
        <v>16399.358400000001</v>
      </c>
      <c r="I80" s="13">
        <f t="shared" si="54"/>
        <v>20762.627135999999</v>
      </c>
      <c r="J80" s="13">
        <f t="shared" si="54"/>
        <v>26409.675838080002</v>
      </c>
      <c r="K80" s="13">
        <f t="shared" si="54"/>
        <v>33739.810972742409</v>
      </c>
      <c r="L80" s="13">
        <f t="shared" si="54"/>
        <v>42699.259712255429</v>
      </c>
      <c r="M80" s="13">
        <f t="shared" si="54"/>
        <v>49272.77048839374</v>
      </c>
      <c r="N80" s="13">
        <f t="shared" si="54"/>
        <v>54326.168066365615</v>
      </c>
      <c r="O80" s="13">
        <f t="shared" si="54"/>
        <v>57312.555360308885</v>
      </c>
      <c r="P80" s="3"/>
    </row>
    <row r="81" spans="1:16">
      <c r="A81" s="3"/>
      <c r="B81" s="110" t="s">
        <v>75</v>
      </c>
      <c r="C81" s="107">
        <f>C80/C12</f>
        <v>0.2449775112443778</v>
      </c>
      <c r="D81" s="107">
        <f>D80/D12</f>
        <v>0.29379148113920861</v>
      </c>
      <c r="E81" s="107">
        <f>E80/E12</f>
        <v>0.32729088639200998</v>
      </c>
      <c r="F81" s="107">
        <f>F80/F12</f>
        <v>0.281571399600197</v>
      </c>
      <c r="G81" s="107">
        <f>G80/G12</f>
        <v>0.23804064594121729</v>
      </c>
      <c r="H81" s="395">
        <v>0.24</v>
      </c>
      <c r="I81" s="395">
        <v>0.24</v>
      </c>
      <c r="J81" s="395">
        <v>0.24</v>
      </c>
      <c r="K81" s="395">
        <v>0.24</v>
      </c>
      <c r="L81" s="395">
        <v>0.24</v>
      </c>
      <c r="M81" s="395">
        <v>0.24</v>
      </c>
      <c r="N81" s="395">
        <v>0.24</v>
      </c>
      <c r="O81" s="395">
        <v>0.24</v>
      </c>
      <c r="P81" s="3"/>
    </row>
    <row r="82" spans="1:16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</row>
    <row r="83" spans="1:16">
      <c r="A83" s="3"/>
      <c r="B83" s="34" t="s">
        <v>202</v>
      </c>
      <c r="C83" s="13">
        <f>-C18</f>
        <v>1135</v>
      </c>
      <c r="D83" s="13">
        <f>-D18</f>
        <v>2062</v>
      </c>
      <c r="E83" s="13">
        <f>-E18</f>
        <v>2897</v>
      </c>
      <c r="F83" s="13">
        <f>-F18</f>
        <v>3753</v>
      </c>
      <c r="G83" s="13">
        <f>-G18</f>
        <v>5213.9219000000003</v>
      </c>
      <c r="H83" s="13">
        <f t="shared" ref="H83:O83" si="55">H84*H$12</f>
        <v>6491.4127000000008</v>
      </c>
      <c r="I83" s="13">
        <f t="shared" si="55"/>
        <v>8218.5399080000007</v>
      </c>
      <c r="J83" s="13">
        <f t="shared" si="55"/>
        <v>10453.830019240002</v>
      </c>
      <c r="K83" s="13">
        <f t="shared" si="55"/>
        <v>13355.341843377204</v>
      </c>
      <c r="L83" s="13">
        <f t="shared" si="55"/>
        <v>16901.790302767775</v>
      </c>
      <c r="M83" s="13">
        <f t="shared" si="55"/>
        <v>19503.80498498919</v>
      </c>
      <c r="N83" s="13">
        <f t="shared" si="55"/>
        <v>21504.10819293639</v>
      </c>
      <c r="O83" s="13">
        <f t="shared" si="55"/>
        <v>22686.219830122271</v>
      </c>
      <c r="P83" s="3"/>
    </row>
    <row r="84" spans="1:16">
      <c r="A84" s="3"/>
      <c r="B84" s="110" t="s">
        <v>75</v>
      </c>
      <c r="C84" s="107">
        <f>C83/C12</f>
        <v>0.17016491754122939</v>
      </c>
      <c r="D84" s="107">
        <f>D83/D12</f>
        <v>0.17323363857850962</v>
      </c>
      <c r="E84" s="107">
        <f>E83/E12</f>
        <v>0.14466916354556805</v>
      </c>
      <c r="F84" s="107">
        <f>F83/F12</f>
        <v>0.10872903207115335</v>
      </c>
      <c r="G84" s="107">
        <f>G83/G12</f>
        <v>9.4540895896294302E-2</v>
      </c>
      <c r="H84" s="395">
        <v>9.5000000000000001E-2</v>
      </c>
      <c r="I84" s="395">
        <v>9.5000000000000001E-2</v>
      </c>
      <c r="J84" s="395">
        <v>9.5000000000000001E-2</v>
      </c>
      <c r="K84" s="395">
        <v>9.5000000000000001E-2</v>
      </c>
      <c r="L84" s="395">
        <v>9.5000000000000001E-2</v>
      </c>
      <c r="M84" s="395">
        <v>9.5000000000000001E-2</v>
      </c>
      <c r="N84" s="395">
        <v>9.5000000000000001E-2</v>
      </c>
      <c r="O84" s="395">
        <v>9.5000000000000001E-2</v>
      </c>
      <c r="P84" s="3"/>
    </row>
    <row r="85" spans="1:16">
      <c r="A85" s="3"/>
      <c r="B85" s="34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</row>
    <row r="86" spans="1:16">
      <c r="A86" s="3"/>
      <c r="B86" s="34" t="s">
        <v>203</v>
      </c>
      <c r="C86" s="13">
        <f>-C19</f>
        <v>2335</v>
      </c>
      <c r="D86" s="13">
        <f>-D19</f>
        <v>3154</v>
      </c>
      <c r="E86" s="13">
        <f>-E19</f>
        <v>3058</v>
      </c>
      <c r="F86" s="13">
        <f>-F19</f>
        <v>3613</v>
      </c>
      <c r="G86" s="13">
        <f>-G19</f>
        <v>4734.6909999999998</v>
      </c>
      <c r="H86" s="13">
        <f t="shared" ref="H86:O86" si="56">H87*H$12</f>
        <v>5808.1061000000009</v>
      </c>
      <c r="I86" s="13">
        <f t="shared" si="56"/>
        <v>7353.4304440000005</v>
      </c>
      <c r="J86" s="13">
        <f t="shared" si="56"/>
        <v>9353.4268593200013</v>
      </c>
      <c r="K86" s="13">
        <f t="shared" si="56"/>
        <v>11949.516386179605</v>
      </c>
      <c r="L86" s="13">
        <f t="shared" si="56"/>
        <v>15122.654481423799</v>
      </c>
      <c r="M86" s="13">
        <f t="shared" si="56"/>
        <v>17450.772881306119</v>
      </c>
      <c r="N86" s="13">
        <f t="shared" si="56"/>
        <v>19240.517856837825</v>
      </c>
      <c r="O86" s="13">
        <f t="shared" si="56"/>
        <v>20298.196690109398</v>
      </c>
      <c r="P86" s="3"/>
    </row>
    <row r="87" spans="1:16">
      <c r="A87" s="3"/>
      <c r="B87" s="110" t="s">
        <v>75</v>
      </c>
      <c r="C87" s="107">
        <f>C86/C12</f>
        <v>0.35007496251874065</v>
      </c>
      <c r="D87" s="107">
        <f>D86/D12</f>
        <v>0.26497521633201715</v>
      </c>
      <c r="E87" s="107">
        <f>E86/E12</f>
        <v>0.15270911360799</v>
      </c>
      <c r="F87" s="107">
        <f>F86/F12</f>
        <v>0.10467305965176579</v>
      </c>
      <c r="G87" s="107">
        <f>G86/G12</f>
        <v>8.5851291507094016E-2</v>
      </c>
      <c r="H87" s="399">
        <v>8.5000000000000006E-2</v>
      </c>
      <c r="I87" s="399">
        <v>8.5000000000000006E-2</v>
      </c>
      <c r="J87" s="399">
        <v>8.5000000000000006E-2</v>
      </c>
      <c r="K87" s="399">
        <v>8.5000000000000006E-2</v>
      </c>
      <c r="L87" s="399">
        <v>8.5000000000000006E-2</v>
      </c>
      <c r="M87" s="399">
        <v>8.5000000000000006E-2</v>
      </c>
      <c r="N87" s="399">
        <v>8.5000000000000006E-2</v>
      </c>
      <c r="O87" s="399">
        <v>8.5000000000000006E-2</v>
      </c>
      <c r="P87" s="3"/>
    </row>
    <row r="88" spans="1:16">
      <c r="A88" s="3"/>
      <c r="B88" s="34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</row>
    <row r="89" spans="1:16">
      <c r="A89" s="3"/>
      <c r="B89" s="34" t="s">
        <v>204</v>
      </c>
      <c r="C89" s="13">
        <f>-C20</f>
        <v>1000</v>
      </c>
      <c r="D89" s="13">
        <f>-D20</f>
        <v>1724</v>
      </c>
      <c r="E89" s="13">
        <f>-E20</f>
        <v>2211</v>
      </c>
      <c r="F89" s="13">
        <f>-F20</f>
        <v>2889</v>
      </c>
      <c r="G89" s="13">
        <f>-G20</f>
        <v>5318.4601000000002</v>
      </c>
      <c r="H89" s="13">
        <f t="shared" ref="H89:O89" si="57">H90*H$12</f>
        <v>6559.7433600000004</v>
      </c>
      <c r="I89" s="13">
        <f t="shared" si="57"/>
        <v>8305.0508544000004</v>
      </c>
      <c r="J89" s="13">
        <f t="shared" si="57"/>
        <v>10563.870335232003</v>
      </c>
      <c r="K89" s="13">
        <f t="shared" si="57"/>
        <v>13495.924389096963</v>
      </c>
      <c r="L89" s="13">
        <f t="shared" si="57"/>
        <v>17079.70388490217</v>
      </c>
      <c r="M89" s="13">
        <f t="shared" si="57"/>
        <v>19709.108195357498</v>
      </c>
      <c r="N89" s="13">
        <f t="shared" si="57"/>
        <v>21730.467226546247</v>
      </c>
      <c r="O89" s="13">
        <f t="shared" si="57"/>
        <v>22925.022144123555</v>
      </c>
      <c r="P89" s="3"/>
    </row>
    <row r="90" spans="1:16">
      <c r="A90" s="3"/>
      <c r="B90" s="110" t="s">
        <v>75</v>
      </c>
      <c r="C90" s="107">
        <f>C89/C12</f>
        <v>0.14992503748125938</v>
      </c>
      <c r="D90" s="107">
        <f>D89/D12</f>
        <v>0.1448374359405192</v>
      </c>
      <c r="E90" s="107">
        <f>E89/E12</f>
        <v>0.11041198501872659</v>
      </c>
      <c r="F90" s="107">
        <f>F89/F12</f>
        <v>8.3697887997218764E-2</v>
      </c>
      <c r="G90" s="107">
        <f>G89/G12</f>
        <v>9.6436423921634679E-2</v>
      </c>
      <c r="H90" s="399">
        <v>9.6000000000000002E-2</v>
      </c>
      <c r="I90" s="399">
        <v>9.6000000000000002E-2</v>
      </c>
      <c r="J90" s="399">
        <v>9.6000000000000002E-2</v>
      </c>
      <c r="K90" s="399">
        <v>9.6000000000000002E-2</v>
      </c>
      <c r="L90" s="399">
        <v>9.6000000000000002E-2</v>
      </c>
      <c r="M90" s="399">
        <v>9.6000000000000002E-2</v>
      </c>
      <c r="N90" s="399">
        <v>9.6000000000000002E-2</v>
      </c>
      <c r="O90" s="399">
        <v>9.6000000000000002E-2</v>
      </c>
      <c r="P90" s="3"/>
    </row>
    <row r="91" spans="1:16" ht="15">
      <c r="A91" s="3"/>
      <c r="B91" s="10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</row>
    <row r="92" spans="1:16">
      <c r="A92" s="3"/>
      <c r="B92" s="34" t="s">
        <v>336</v>
      </c>
      <c r="C92" s="3"/>
      <c r="D92" s="3"/>
      <c r="E92" s="3">
        <f>CF!E14</f>
        <v>1254</v>
      </c>
      <c r="F92" s="3">
        <f>CF!F14</f>
        <v>1259</v>
      </c>
      <c r="G92" s="3">
        <f>CF!G14</f>
        <v>1919</v>
      </c>
      <c r="H92" s="6">
        <f t="shared" ref="H92:O92" si="58">H93*H12</f>
        <v>2391.5731000000005</v>
      </c>
      <c r="I92" s="6">
        <f t="shared" si="58"/>
        <v>3027.8831240000004</v>
      </c>
      <c r="J92" s="6">
        <f t="shared" si="58"/>
        <v>3851.411059720001</v>
      </c>
      <c r="K92" s="6">
        <f t="shared" si="58"/>
        <v>4920.3891001916018</v>
      </c>
      <c r="L92" s="6">
        <f t="shared" si="58"/>
        <v>6226.9753747039167</v>
      </c>
      <c r="M92" s="6">
        <f t="shared" si="58"/>
        <v>7185.6123628907544</v>
      </c>
      <c r="N92" s="6">
        <f t="shared" si="58"/>
        <v>7922.5661763449862</v>
      </c>
      <c r="O92" s="6">
        <f t="shared" si="58"/>
        <v>8358.0809900450477</v>
      </c>
      <c r="P92" s="3"/>
    </row>
    <row r="93" spans="1:16">
      <c r="A93" s="3"/>
      <c r="B93" s="110" t="s">
        <v>337</v>
      </c>
      <c r="C93" s="3"/>
      <c r="D93" s="3"/>
      <c r="E93" s="107">
        <f>E92/E12</f>
        <v>6.2621722846441949E-2</v>
      </c>
      <c r="F93" s="107">
        <f>F92/F12</f>
        <v>3.647478054292088E-2</v>
      </c>
      <c r="G93" s="107">
        <f>G92/G12</f>
        <v>3.4796067663573703E-2</v>
      </c>
      <c r="H93" s="417">
        <v>3.5000000000000003E-2</v>
      </c>
      <c r="I93" s="417">
        <v>3.5000000000000003E-2</v>
      </c>
      <c r="J93" s="417">
        <v>3.5000000000000003E-2</v>
      </c>
      <c r="K93" s="417">
        <v>3.5000000000000003E-2</v>
      </c>
      <c r="L93" s="417">
        <v>3.5000000000000003E-2</v>
      </c>
      <c r="M93" s="417">
        <v>3.5000000000000003E-2</v>
      </c>
      <c r="N93" s="417">
        <v>3.5000000000000003E-2</v>
      </c>
      <c r="O93" s="417">
        <v>3.5000000000000003E-2</v>
      </c>
      <c r="P93" s="3"/>
    </row>
    <row r="94" spans="1:16">
      <c r="A94" s="3"/>
      <c r="B94" s="110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</row>
    <row r="95" spans="1:16">
      <c r="A95" s="3"/>
      <c r="B95" s="3" t="s">
        <v>303</v>
      </c>
      <c r="C95" s="107">
        <f>-C34/C33</f>
        <v>-0.62629757785467133</v>
      </c>
      <c r="D95" s="107">
        <f>-D34/D33</f>
        <v>0.16899224806201552</v>
      </c>
      <c r="E95" s="107">
        <f>-E34/E33</f>
        <v>0.15220535068691252</v>
      </c>
      <c r="F95" s="107">
        <f>-F34/F33</f>
        <v>0.14408623417721519</v>
      </c>
      <c r="G95" s="107">
        <f>-G34/G33</f>
        <v>7.3115710480026436E-2</v>
      </c>
      <c r="H95" s="361">
        <v>0.12</v>
      </c>
      <c r="I95" s="361">
        <v>0.14000000000000001</v>
      </c>
      <c r="J95" s="361">
        <v>0.15</v>
      </c>
      <c r="K95" s="361">
        <v>0.16</v>
      </c>
      <c r="L95" s="361">
        <v>0.18</v>
      </c>
      <c r="M95" s="361">
        <v>0.2</v>
      </c>
      <c r="N95" s="361">
        <v>0.22</v>
      </c>
      <c r="O95" s="361">
        <v>0.25</v>
      </c>
      <c r="P95" s="3"/>
    </row>
    <row r="96" spans="1:1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</row>
    <row r="97" spans="3:15">
      <c r="C97" s="267"/>
      <c r="D97" s="267"/>
      <c r="E97" s="267"/>
      <c r="F97" s="267"/>
      <c r="G97" s="267"/>
      <c r="H97" s="268"/>
      <c r="I97" s="268"/>
      <c r="J97" s="268"/>
      <c r="K97" s="268"/>
      <c r="L97" s="268"/>
      <c r="M97" s="268"/>
      <c r="N97" s="268"/>
      <c r="O97" s="268"/>
    </row>
    <row r="98" spans="3:15">
      <c r="C98" s="267"/>
      <c r="D98" s="267"/>
      <c r="E98" s="267"/>
      <c r="F98" s="267"/>
      <c r="G98" s="267"/>
      <c r="H98" s="268"/>
      <c r="I98" s="268"/>
      <c r="J98" s="268"/>
      <c r="K98" s="268"/>
      <c r="L98" s="268"/>
      <c r="M98" s="268"/>
      <c r="N98" s="268"/>
      <c r="O98" s="268"/>
    </row>
    <row r="99" spans="3:15">
      <c r="C99" s="267"/>
      <c r="D99" s="267"/>
      <c r="E99" s="267"/>
      <c r="F99" s="267"/>
      <c r="G99" s="267"/>
      <c r="H99" s="268"/>
      <c r="I99" s="268"/>
      <c r="J99" s="268"/>
      <c r="K99" s="268"/>
      <c r="L99" s="268"/>
      <c r="M99" s="268"/>
      <c r="N99" s="268"/>
      <c r="O99" s="268"/>
    </row>
    <row r="100" spans="3:15">
      <c r="C100" s="267"/>
      <c r="D100" s="267"/>
      <c r="E100" s="267"/>
      <c r="F100" s="267"/>
      <c r="G100" s="267"/>
      <c r="H100" s="268"/>
      <c r="I100" s="268"/>
      <c r="J100" s="268"/>
      <c r="K100" s="268"/>
      <c r="L100" s="268"/>
      <c r="M100" s="268"/>
      <c r="N100" s="268"/>
      <c r="O100" s="268"/>
    </row>
    <row r="101" spans="3:15">
      <c r="C101" s="267"/>
      <c r="D101" s="267"/>
      <c r="E101" s="267"/>
      <c r="F101" s="267"/>
      <c r="G101" s="267"/>
      <c r="H101" s="268"/>
      <c r="I101" s="268"/>
      <c r="J101" s="268"/>
      <c r="K101" s="268"/>
      <c r="L101" s="268"/>
      <c r="M101" s="268"/>
      <c r="N101" s="268"/>
      <c r="O101" s="268"/>
    </row>
  </sheetData>
  <mergeCells count="2">
    <mergeCell ref="C4:G4"/>
    <mergeCell ref="H4:O4"/>
  </mergeCell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FF00"/>
  </sheetPr>
  <dimension ref="A1:P63"/>
  <sheetViews>
    <sheetView showGridLines="0" zoomScale="85" zoomScaleNormal="85" workbookViewId="0">
      <pane xSplit="2" ySplit="4" topLeftCell="J5" activePane="bottomRight" state="frozen"/>
      <selection pane="topRight" activeCell="C1" sqref="C1"/>
      <selection pane="bottomLeft" activeCell="A6" sqref="A6"/>
      <selection pane="bottomRight" activeCell="K8" sqref="K8"/>
    </sheetView>
  </sheetViews>
  <sheetFormatPr defaultRowHeight="15"/>
  <cols>
    <col min="1" max="1" width="2.7109375" style="258" customWidth="1"/>
    <col min="2" max="2" width="73.42578125" style="258" bestFit="1" customWidth="1"/>
    <col min="3" max="3" width="12.28515625" style="258" customWidth="1"/>
    <col min="4" max="5" width="12.28515625" style="258" bestFit="1" customWidth="1"/>
    <col min="6" max="7" width="12.28515625" style="258" customWidth="1"/>
    <col min="8" max="15" width="12.28515625" style="258" bestFit="1" customWidth="1"/>
    <col min="16" max="16384" width="9.140625" style="258"/>
  </cols>
  <sheetData>
    <row r="1" spans="1:16" ht="32.25">
      <c r="A1" s="261" t="str">
        <f>Index!A1</f>
        <v>Alibaba IPO</v>
      </c>
      <c r="B1" s="257"/>
      <c r="C1" s="257"/>
      <c r="D1" s="257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  <c r="P1" s="257"/>
    </row>
    <row r="2" spans="1:16" ht="23.25">
      <c r="A2" s="260" t="s">
        <v>194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</row>
    <row r="3" spans="1:16" ht="26.25">
      <c r="A3" s="260"/>
      <c r="B3" s="260"/>
      <c r="C3" s="422" t="s">
        <v>101</v>
      </c>
      <c r="D3" s="422"/>
      <c r="E3" s="422"/>
      <c r="F3" s="422"/>
      <c r="G3" s="422"/>
      <c r="H3" s="422" t="s">
        <v>102</v>
      </c>
      <c r="I3" s="422"/>
      <c r="J3" s="422"/>
      <c r="K3" s="422"/>
      <c r="L3" s="422"/>
      <c r="M3" s="376"/>
      <c r="N3" s="376"/>
      <c r="O3" s="376"/>
      <c r="P3" s="257"/>
    </row>
    <row r="4" spans="1:16" ht="15.75" thickBot="1">
      <c r="A4" s="254"/>
      <c r="B4" s="165" t="s">
        <v>217</v>
      </c>
      <c r="C4" s="323">
        <f>IS!C5</f>
        <v>40268</v>
      </c>
      <c r="D4" s="323">
        <f>IS!D5</f>
        <v>40633</v>
      </c>
      <c r="E4" s="323">
        <f>IS!E5</f>
        <v>40999</v>
      </c>
      <c r="F4" s="323">
        <f>IS!F5</f>
        <v>41364</v>
      </c>
      <c r="G4" s="323">
        <f>IS!G5</f>
        <v>41729</v>
      </c>
      <c r="H4" s="323">
        <f>IS!H5</f>
        <v>42094</v>
      </c>
      <c r="I4" s="323">
        <f>IS!I5</f>
        <v>42460</v>
      </c>
      <c r="J4" s="323">
        <f>IS!J5</f>
        <v>42825</v>
      </c>
      <c r="K4" s="323">
        <f>IS!K5</f>
        <v>43190</v>
      </c>
      <c r="L4" s="323">
        <f>IS!L5</f>
        <v>43555</v>
      </c>
      <c r="M4" s="323">
        <f>IS!M5</f>
        <v>43921</v>
      </c>
      <c r="N4" s="323">
        <f>IS!N5</f>
        <v>44286</v>
      </c>
      <c r="O4" s="323">
        <f>IS!O5</f>
        <v>44651</v>
      </c>
      <c r="P4" s="254"/>
    </row>
    <row r="5" spans="1:16">
      <c r="A5" s="254"/>
      <c r="B5" s="254"/>
      <c r="C5" s="254"/>
      <c r="D5" s="254"/>
      <c r="E5" s="254"/>
      <c r="F5" s="254"/>
      <c r="G5" s="169" t="s">
        <v>311</v>
      </c>
      <c r="H5" s="254"/>
      <c r="I5" s="254"/>
      <c r="J5" s="254"/>
      <c r="K5" s="254"/>
      <c r="L5" s="254"/>
      <c r="M5" s="254"/>
      <c r="N5" s="254"/>
      <c r="O5" s="254"/>
      <c r="P5" s="254"/>
    </row>
    <row r="6" spans="1:16">
      <c r="A6" s="254"/>
      <c r="B6" s="324" t="s">
        <v>40</v>
      </c>
      <c r="C6" s="254"/>
      <c r="D6" s="254"/>
      <c r="E6" s="254"/>
      <c r="F6" s="254"/>
      <c r="G6" s="254"/>
      <c r="H6" s="254"/>
      <c r="I6" s="254"/>
      <c r="J6" s="254"/>
      <c r="K6" s="254"/>
      <c r="L6" s="254"/>
      <c r="M6" s="254"/>
      <c r="N6" s="254"/>
      <c r="O6" s="254"/>
      <c r="P6" s="254"/>
    </row>
    <row r="7" spans="1:16">
      <c r="A7" s="254"/>
      <c r="B7" s="254" t="s">
        <v>41</v>
      </c>
      <c r="C7" s="254"/>
      <c r="D7" s="254"/>
      <c r="E7" s="254"/>
      <c r="F7" s="254"/>
      <c r="G7" s="169"/>
      <c r="H7" s="169"/>
      <c r="I7" s="254"/>
      <c r="J7" s="254"/>
      <c r="K7" s="254"/>
      <c r="L7" s="254"/>
      <c r="M7" s="254"/>
      <c r="N7" s="254"/>
      <c r="O7" s="254"/>
      <c r="P7" s="254"/>
    </row>
    <row r="8" spans="1:16">
      <c r="A8" s="254"/>
      <c r="B8" s="254" t="s">
        <v>42</v>
      </c>
      <c r="C8" s="341"/>
      <c r="D8" s="341"/>
      <c r="E8" s="325">
        <v>16857</v>
      </c>
      <c r="F8" s="325">
        <v>30396</v>
      </c>
      <c r="G8" s="366">
        <f>41714+6836</f>
        <v>48550</v>
      </c>
      <c r="H8" s="326">
        <f ca="1">CF!H74</f>
        <v>64630.081134049149</v>
      </c>
      <c r="I8" s="326">
        <f ca="1">CF!I74</f>
        <v>89336.841730190703</v>
      </c>
      <c r="J8" s="326">
        <f ca="1">CF!J74</f>
        <v>131731.54730365437</v>
      </c>
      <c r="K8" s="326">
        <f ca="1">CF!K74</f>
        <v>191888.24765309147</v>
      </c>
      <c r="L8" s="326">
        <f ca="1">CF!L74</f>
        <v>268277.02462912083</v>
      </c>
      <c r="M8" s="326">
        <f ca="1">CF!M74</f>
        <v>354323.72022619547</v>
      </c>
      <c r="N8" s="326">
        <f ca="1">CF!N74</f>
        <v>449749.13352259982</v>
      </c>
      <c r="O8" s="326">
        <f ca="1">CF!O74</f>
        <v>550833.58879229834</v>
      </c>
      <c r="P8" s="254"/>
    </row>
    <row r="9" spans="1:16">
      <c r="A9" s="254"/>
      <c r="B9" s="254" t="s">
        <v>218</v>
      </c>
      <c r="C9" s="341"/>
      <c r="D9" s="341"/>
      <c r="E9" s="325">
        <v>4887</v>
      </c>
      <c r="F9" s="325">
        <v>2290</v>
      </c>
      <c r="G9" s="325">
        <v>7248</v>
      </c>
      <c r="H9" s="331">
        <f>G9</f>
        <v>7248</v>
      </c>
      <c r="I9" s="331">
        <f t="shared" ref="I9:L12" si="0">H9</f>
        <v>7248</v>
      </c>
      <c r="J9" s="331">
        <f t="shared" si="0"/>
        <v>7248</v>
      </c>
      <c r="K9" s="331">
        <f t="shared" si="0"/>
        <v>7248</v>
      </c>
      <c r="L9" s="331">
        <f t="shared" si="0"/>
        <v>7248</v>
      </c>
      <c r="M9" s="331">
        <f t="shared" ref="M9:M10" si="1">L9</f>
        <v>7248</v>
      </c>
      <c r="N9" s="331">
        <f t="shared" ref="N9:N10" si="2">M9</f>
        <v>7248</v>
      </c>
      <c r="O9" s="331">
        <f t="shared" ref="O9:O10" si="3">N9</f>
        <v>7248</v>
      </c>
      <c r="P9" s="254"/>
    </row>
    <row r="10" spans="1:16">
      <c r="A10" s="254"/>
      <c r="B10" s="254" t="s">
        <v>219</v>
      </c>
      <c r="C10" s="341"/>
      <c r="D10" s="341"/>
      <c r="E10" s="325">
        <v>3312</v>
      </c>
      <c r="F10" s="325">
        <v>3687</v>
      </c>
      <c r="G10" s="325">
        <v>4244</v>
      </c>
      <c r="H10" s="331">
        <f>G10</f>
        <v>4244</v>
      </c>
      <c r="I10" s="331">
        <f t="shared" si="0"/>
        <v>4244</v>
      </c>
      <c r="J10" s="331">
        <f t="shared" si="0"/>
        <v>4244</v>
      </c>
      <c r="K10" s="331">
        <f t="shared" si="0"/>
        <v>4244</v>
      </c>
      <c r="L10" s="331">
        <f t="shared" si="0"/>
        <v>4244</v>
      </c>
      <c r="M10" s="331">
        <f t="shared" si="1"/>
        <v>4244</v>
      </c>
      <c r="N10" s="331">
        <f t="shared" si="2"/>
        <v>4244</v>
      </c>
      <c r="O10" s="331">
        <f t="shared" si="3"/>
        <v>4244</v>
      </c>
      <c r="P10" s="254"/>
    </row>
    <row r="11" spans="1:16">
      <c r="A11" s="254"/>
      <c r="B11" s="254" t="s">
        <v>220</v>
      </c>
      <c r="C11" s="341"/>
      <c r="D11" s="341"/>
      <c r="E11" s="325">
        <v>581</v>
      </c>
      <c r="F11" s="325">
        <v>4426</v>
      </c>
      <c r="G11" s="325">
        <v>12434</v>
      </c>
      <c r="H11" s="326">
        <f>'Working Capital '!H10</f>
        <v>15032.745200000001</v>
      </c>
      <c r="I11" s="326">
        <f>'Working Capital '!I10</f>
        <v>19032.408208000001</v>
      </c>
      <c r="J11" s="326">
        <f>'Working Capital '!J10</f>
        <v>24208.869518240004</v>
      </c>
      <c r="K11" s="326">
        <f>'Working Capital '!K10</f>
        <v>30928.160058347206</v>
      </c>
      <c r="L11" s="326">
        <f>'Working Capital '!L10</f>
        <v>39140.988069567473</v>
      </c>
      <c r="M11" s="326">
        <f>'Working Capital '!M10</f>
        <v>45166.706281027597</v>
      </c>
      <c r="N11" s="326">
        <f>'Working Capital '!N10</f>
        <v>49798.987394168485</v>
      </c>
      <c r="O11" s="326">
        <f>'Working Capital '!O10</f>
        <v>52536.509080283147</v>
      </c>
      <c r="P11" s="254"/>
    </row>
    <row r="12" spans="1:16">
      <c r="A12" s="254"/>
      <c r="B12" s="254" t="s">
        <v>221</v>
      </c>
      <c r="C12" s="341"/>
      <c r="D12" s="341"/>
      <c r="E12" s="325">
        <v>593</v>
      </c>
      <c r="F12" s="325">
        <v>629</v>
      </c>
      <c r="G12" s="325">
        <v>1207</v>
      </c>
      <c r="H12" s="331">
        <f>G12</f>
        <v>1207</v>
      </c>
      <c r="I12" s="331">
        <f t="shared" si="0"/>
        <v>1207</v>
      </c>
      <c r="J12" s="331">
        <f t="shared" si="0"/>
        <v>1207</v>
      </c>
      <c r="K12" s="331">
        <f t="shared" si="0"/>
        <v>1207</v>
      </c>
      <c r="L12" s="331">
        <f t="shared" si="0"/>
        <v>1207</v>
      </c>
      <c r="M12" s="331">
        <f t="shared" ref="M12" si="4">L12</f>
        <v>1207</v>
      </c>
      <c r="N12" s="331">
        <f t="shared" ref="N12" si="5">M12</f>
        <v>1207</v>
      </c>
      <c r="O12" s="331">
        <f t="shared" ref="O12" si="6">N12</f>
        <v>1207</v>
      </c>
      <c r="P12" s="254"/>
    </row>
    <row r="13" spans="1:16">
      <c r="A13" s="254"/>
      <c r="B13" s="254" t="s">
        <v>222</v>
      </c>
      <c r="C13" s="341"/>
      <c r="D13" s="341"/>
      <c r="E13" s="325">
        <v>1669</v>
      </c>
      <c r="F13" s="325">
        <v>1734</v>
      </c>
      <c r="G13" s="325">
        <v>2980</v>
      </c>
      <c r="H13" s="326">
        <f>'Working Capital '!H11</f>
        <v>3758.1863000000003</v>
      </c>
      <c r="I13" s="326">
        <f>'Working Capital '!I11</f>
        <v>4758.1020520000002</v>
      </c>
      <c r="J13" s="326">
        <f>'Working Capital '!J11</f>
        <v>6052.2173795600011</v>
      </c>
      <c r="K13" s="326">
        <f>'Working Capital '!K11</f>
        <v>7732.0400145868016</v>
      </c>
      <c r="L13" s="326">
        <f>'Working Capital '!L11</f>
        <v>9785.2470173918682</v>
      </c>
      <c r="M13" s="326">
        <f>'Working Capital '!M11</f>
        <v>11291.676570256899</v>
      </c>
      <c r="N13" s="326">
        <f>'Working Capital '!N11</f>
        <v>12449.746848542121</v>
      </c>
      <c r="O13" s="326">
        <f>'Working Capital '!O11</f>
        <v>13134.127270070787</v>
      </c>
      <c r="P13" s="254"/>
    </row>
    <row r="14" spans="1:16">
      <c r="A14" s="254"/>
      <c r="B14" s="327" t="s">
        <v>43</v>
      </c>
      <c r="C14" s="342"/>
      <c r="D14" s="342"/>
      <c r="E14" s="328">
        <f>SUM(E8:E13)</f>
        <v>27899</v>
      </c>
      <c r="F14" s="328">
        <f>SUM(F8:F13)</f>
        <v>43162</v>
      </c>
      <c r="G14" s="328">
        <f t="shared" ref="G14:L14" si="7">SUM(G8:G13)</f>
        <v>76663</v>
      </c>
      <c r="H14" s="328">
        <f t="shared" ca="1" si="7"/>
        <v>96120.012634049155</v>
      </c>
      <c r="I14" s="328">
        <f t="shared" ca="1" si="7"/>
        <v>125826.35199019071</v>
      </c>
      <c r="J14" s="328">
        <f t="shared" ca="1" si="7"/>
        <v>174691.63420145438</v>
      </c>
      <c r="K14" s="328">
        <f t="shared" ca="1" si="7"/>
        <v>243247.44772602548</v>
      </c>
      <c r="L14" s="328">
        <f t="shared" ca="1" si="7"/>
        <v>329902.25971608015</v>
      </c>
      <c r="M14" s="328">
        <f t="shared" ref="M14:O14" ca="1" si="8">SUM(M8:M13)</f>
        <v>423481.10307747993</v>
      </c>
      <c r="N14" s="328">
        <f t="shared" ca="1" si="8"/>
        <v>524696.86776531045</v>
      </c>
      <c r="O14" s="328">
        <f t="shared" ca="1" si="8"/>
        <v>629203.22514265229</v>
      </c>
      <c r="P14" s="254"/>
    </row>
    <row r="15" spans="1:16">
      <c r="A15" s="254"/>
      <c r="B15" s="254"/>
      <c r="C15" s="343"/>
      <c r="D15" s="343"/>
      <c r="E15" s="329"/>
      <c r="F15" s="329"/>
      <c r="G15" s="329"/>
      <c r="H15" s="329"/>
      <c r="I15" s="329"/>
      <c r="J15" s="329"/>
      <c r="K15" s="329"/>
      <c r="L15" s="329"/>
      <c r="M15" s="329"/>
      <c r="N15" s="329"/>
      <c r="O15" s="329"/>
      <c r="P15" s="254"/>
    </row>
    <row r="16" spans="1:16">
      <c r="A16" s="254"/>
      <c r="B16" s="254" t="s">
        <v>223</v>
      </c>
      <c r="C16" s="341"/>
      <c r="D16" s="341"/>
      <c r="E16" s="325">
        <v>1642</v>
      </c>
      <c r="F16" s="325">
        <v>1555</v>
      </c>
      <c r="G16" s="325">
        <v>13009</v>
      </c>
      <c r="H16" s="331">
        <f>G16</f>
        <v>13009</v>
      </c>
      <c r="I16" s="331">
        <f t="shared" ref="I16:L17" si="9">H16</f>
        <v>13009</v>
      </c>
      <c r="J16" s="331">
        <f t="shared" si="9"/>
        <v>13009</v>
      </c>
      <c r="K16" s="331">
        <f t="shared" si="9"/>
        <v>13009</v>
      </c>
      <c r="L16" s="331">
        <f t="shared" si="9"/>
        <v>13009</v>
      </c>
      <c r="M16" s="331">
        <f t="shared" ref="M16:M18" si="10">L16</f>
        <v>13009</v>
      </c>
      <c r="N16" s="331">
        <f t="shared" ref="N16:N18" si="11">M16</f>
        <v>13009</v>
      </c>
      <c r="O16" s="331">
        <f t="shared" ref="O16:O18" si="12">N16</f>
        <v>13009</v>
      </c>
      <c r="P16" s="254"/>
    </row>
    <row r="17" spans="1:16">
      <c r="A17" s="254"/>
      <c r="B17" s="254" t="s">
        <v>221</v>
      </c>
      <c r="C17" s="344"/>
      <c r="D17" s="344"/>
      <c r="E17" s="325">
        <v>248</v>
      </c>
      <c r="F17" s="325">
        <v>242</v>
      </c>
      <c r="G17" s="325">
        <v>1095</v>
      </c>
      <c r="H17" s="331">
        <f>G17</f>
        <v>1095</v>
      </c>
      <c r="I17" s="331">
        <f t="shared" si="9"/>
        <v>1095</v>
      </c>
      <c r="J17" s="331">
        <f t="shared" si="9"/>
        <v>1095</v>
      </c>
      <c r="K17" s="331">
        <f t="shared" si="9"/>
        <v>1095</v>
      </c>
      <c r="L17" s="331">
        <f t="shared" si="9"/>
        <v>1095</v>
      </c>
      <c r="M17" s="331">
        <f t="shared" si="10"/>
        <v>1095</v>
      </c>
      <c r="N17" s="331">
        <f t="shared" si="11"/>
        <v>1095</v>
      </c>
      <c r="O17" s="331">
        <f t="shared" si="12"/>
        <v>1095</v>
      </c>
      <c r="P17" s="254"/>
    </row>
    <row r="18" spans="1:16">
      <c r="A18" s="254"/>
      <c r="B18" s="254" t="s">
        <v>222</v>
      </c>
      <c r="C18" s="344"/>
      <c r="D18" s="344"/>
      <c r="E18" s="325">
        <v>1466</v>
      </c>
      <c r="F18" s="325">
        <v>1496</v>
      </c>
      <c r="G18" s="325">
        <v>2041</v>
      </c>
      <c r="H18" s="331">
        <f>G18</f>
        <v>2041</v>
      </c>
      <c r="I18" s="331">
        <f>H18</f>
        <v>2041</v>
      </c>
      <c r="J18" s="331">
        <f>I18</f>
        <v>2041</v>
      </c>
      <c r="K18" s="331">
        <f>J18</f>
        <v>2041</v>
      </c>
      <c r="L18" s="331">
        <f>K18</f>
        <v>2041</v>
      </c>
      <c r="M18" s="331">
        <f t="shared" si="10"/>
        <v>2041</v>
      </c>
      <c r="N18" s="331">
        <f t="shared" si="11"/>
        <v>2041</v>
      </c>
      <c r="O18" s="331">
        <f t="shared" si="12"/>
        <v>2041</v>
      </c>
      <c r="P18" s="254"/>
    </row>
    <row r="19" spans="1:16">
      <c r="A19" s="254"/>
      <c r="B19" s="254" t="s">
        <v>44</v>
      </c>
      <c r="C19" s="341"/>
      <c r="D19" s="341"/>
      <c r="E19" s="325">
        <v>2463</v>
      </c>
      <c r="F19" s="325">
        <v>3808</v>
      </c>
      <c r="G19" s="325">
        <v>5973</v>
      </c>
      <c r="H19" s="326">
        <f>'Dep Capex '!H14</f>
        <v>10115.204951130485</v>
      </c>
      <c r="I19" s="326">
        <f>'Dep Capex '!I14</f>
        <v>13696.953380517401</v>
      </c>
      <c r="J19" s="326">
        <f>'Dep Capex '!J14</f>
        <v>16612.461482131024</v>
      </c>
      <c r="K19" s="326">
        <f>'Dep Capex '!K14</f>
        <v>18732.434267167664</v>
      </c>
      <c r="L19" s="326">
        <f>'Dep Capex '!L14</f>
        <v>19693.167273922354</v>
      </c>
      <c r="M19" s="326">
        <f>'Dep Capex '!M14</f>
        <v>17506.360917155485</v>
      </c>
      <c r="N19" s="326">
        <f>'Dep Capex '!N14</f>
        <v>10794.475616830219</v>
      </c>
      <c r="O19" s="326">
        <f>'Dep Capex '!O14</f>
        <v>-1818.3146914159515</v>
      </c>
      <c r="P19" s="254"/>
    </row>
    <row r="20" spans="1:16">
      <c r="A20" s="254"/>
      <c r="B20" s="254" t="s">
        <v>224</v>
      </c>
      <c r="C20" s="345"/>
      <c r="D20" s="345"/>
      <c r="E20" s="325">
        <v>1701</v>
      </c>
      <c r="F20" s="325">
        <v>1895</v>
      </c>
      <c r="G20" s="325">
        <v>1863</v>
      </c>
      <c r="H20" s="331">
        <f>G20</f>
        <v>1863</v>
      </c>
      <c r="I20" s="331">
        <f>H20</f>
        <v>1863</v>
      </c>
      <c r="J20" s="331">
        <f>I20</f>
        <v>1863</v>
      </c>
      <c r="K20" s="331">
        <f>J20</f>
        <v>1863</v>
      </c>
      <c r="L20" s="331">
        <f>K20</f>
        <v>1863</v>
      </c>
      <c r="M20" s="331">
        <f t="shared" ref="M20:O20" si="13">L20</f>
        <v>1863</v>
      </c>
      <c r="N20" s="331">
        <f t="shared" si="13"/>
        <v>1863</v>
      </c>
      <c r="O20" s="331">
        <f t="shared" si="13"/>
        <v>1863</v>
      </c>
      <c r="P20" s="254"/>
    </row>
    <row r="21" spans="1:16">
      <c r="A21" s="254"/>
      <c r="B21" s="254" t="s">
        <v>225</v>
      </c>
      <c r="C21" s="345"/>
      <c r="D21" s="345"/>
      <c r="E21" s="325">
        <v>355</v>
      </c>
      <c r="F21" s="325">
        <v>334</v>
      </c>
      <c r="G21" s="325">
        <v>1610</v>
      </c>
      <c r="H21" s="331">
        <f>'Amort Intangible'!H14</f>
        <v>3930.5731000000005</v>
      </c>
      <c r="I21" s="331">
        <f>'Amort Intangible'!I14</f>
        <v>6916.4562240000014</v>
      </c>
      <c r="J21" s="331">
        <f>'Amort Intangible'!J14</f>
        <v>10737.867283720003</v>
      </c>
      <c r="K21" s="331">
        <f>'Amort Intangible'!K14</f>
        <v>15632.256383911605</v>
      </c>
      <c r="L21" s="331">
        <f>'Amort Intangible'!L14</f>
        <v>21813.231758615522</v>
      </c>
      <c r="M21" s="331">
        <f>'Amort Intangible'!M14</f>
        <v>28948.844121506278</v>
      </c>
      <c r="N21" s="331">
        <f>'Amort Intangible'!N14</f>
        <v>36821.410297851267</v>
      </c>
      <c r="O21" s="331">
        <f>'Amort Intangible'!O14</f>
        <v>45129.491287896315</v>
      </c>
      <c r="P21" s="254"/>
    </row>
    <row r="22" spans="1:16">
      <c r="A22" s="254"/>
      <c r="B22" s="254" t="s">
        <v>45</v>
      </c>
      <c r="C22" s="345"/>
      <c r="D22" s="345"/>
      <c r="E22" s="325">
        <v>11436</v>
      </c>
      <c r="F22" s="325">
        <v>11294</v>
      </c>
      <c r="G22" s="325">
        <v>11640</v>
      </c>
      <c r="H22" s="331">
        <f>G22</f>
        <v>11640</v>
      </c>
      <c r="I22" s="331">
        <f>H22</f>
        <v>11640</v>
      </c>
      <c r="J22" s="331">
        <f>I22</f>
        <v>11640</v>
      </c>
      <c r="K22" s="331">
        <f>J22</f>
        <v>11640</v>
      </c>
      <c r="L22" s="331">
        <f>K22</f>
        <v>11640</v>
      </c>
      <c r="M22" s="331">
        <f t="shared" ref="M22:O22" si="14">L22</f>
        <v>11640</v>
      </c>
      <c r="N22" s="331">
        <f t="shared" si="14"/>
        <v>11640</v>
      </c>
      <c r="O22" s="331">
        <f t="shared" si="14"/>
        <v>11640</v>
      </c>
      <c r="P22" s="254"/>
    </row>
    <row r="23" spans="1:16" ht="15.75" thickBot="1">
      <c r="A23" s="254"/>
      <c r="B23" s="332" t="s">
        <v>0</v>
      </c>
      <c r="C23" s="346"/>
      <c r="D23" s="346"/>
      <c r="E23" s="333">
        <f>SUM(E16:E22)+E14</f>
        <v>47210</v>
      </c>
      <c r="F23" s="333">
        <f>SUM(F16:F22)+F14</f>
        <v>63786</v>
      </c>
      <c r="G23" s="333">
        <f t="shared" ref="G23:L23" si="15">SUM(G16:G22)+G14</f>
        <v>113894</v>
      </c>
      <c r="H23" s="333">
        <f t="shared" ca="1" si="15"/>
        <v>139813.79068517964</v>
      </c>
      <c r="I23" s="333">
        <f t="shared" ca="1" si="15"/>
        <v>176087.76159470811</v>
      </c>
      <c r="J23" s="333">
        <f t="shared" ca="1" si="15"/>
        <v>231689.96296730539</v>
      </c>
      <c r="K23" s="333">
        <f t="shared" ca="1" si="15"/>
        <v>307260.13837710477</v>
      </c>
      <c r="L23" s="333">
        <f t="shared" ca="1" si="15"/>
        <v>401056.65874861804</v>
      </c>
      <c r="M23" s="333">
        <f t="shared" ref="M23:O23" ca="1" si="16">SUM(M16:M22)+M14</f>
        <v>499584.30811614171</v>
      </c>
      <c r="N23" s="333">
        <f t="shared" ca="1" si="16"/>
        <v>601960.75367999193</v>
      </c>
      <c r="O23" s="333">
        <f t="shared" ca="1" si="16"/>
        <v>702162.40173913259</v>
      </c>
      <c r="P23" s="254"/>
    </row>
    <row r="24" spans="1:16">
      <c r="A24" s="254"/>
      <c r="B24" s="254"/>
      <c r="C24" s="345"/>
      <c r="D24" s="345"/>
      <c r="E24" s="254"/>
      <c r="F24" s="254"/>
      <c r="G24" s="254"/>
      <c r="H24" s="254"/>
      <c r="I24" s="254"/>
      <c r="J24" s="254"/>
      <c r="K24" s="254"/>
      <c r="L24" s="254"/>
      <c r="M24" s="254"/>
      <c r="N24" s="254"/>
      <c r="O24" s="254"/>
      <c r="P24" s="254"/>
    </row>
    <row r="25" spans="1:16">
      <c r="A25" s="254"/>
      <c r="B25" s="324" t="s">
        <v>72</v>
      </c>
      <c r="C25" s="345"/>
      <c r="D25" s="345"/>
      <c r="E25" s="254"/>
      <c r="F25" s="254"/>
      <c r="G25" s="254"/>
      <c r="H25" s="254"/>
      <c r="I25" s="254"/>
      <c r="J25" s="254"/>
      <c r="K25" s="254"/>
      <c r="L25" s="254"/>
      <c r="M25" s="254"/>
      <c r="N25" s="254"/>
      <c r="O25" s="254"/>
      <c r="P25" s="254"/>
    </row>
    <row r="26" spans="1:16">
      <c r="A26" s="254"/>
      <c r="B26" s="254" t="s">
        <v>46</v>
      </c>
      <c r="C26" s="345"/>
      <c r="D26" s="345"/>
      <c r="E26" s="254"/>
      <c r="F26" s="254"/>
      <c r="G26" s="254"/>
      <c r="H26" s="254"/>
      <c r="I26" s="254"/>
      <c r="J26" s="254"/>
      <c r="K26" s="254"/>
      <c r="L26" s="254"/>
      <c r="M26" s="254"/>
      <c r="N26" s="254"/>
      <c r="O26" s="254"/>
      <c r="P26" s="254"/>
    </row>
    <row r="27" spans="1:16">
      <c r="A27" s="254"/>
      <c r="B27" s="254" t="s">
        <v>226</v>
      </c>
      <c r="C27" s="341"/>
      <c r="D27" s="341"/>
      <c r="E27" s="325">
        <v>1283</v>
      </c>
      <c r="F27" s="325">
        <v>3350</v>
      </c>
      <c r="G27" s="325">
        <v>1200</v>
      </c>
      <c r="H27" s="326">
        <f>Debt!H18</f>
        <v>0</v>
      </c>
      <c r="I27" s="326">
        <f ca="1">Debt!I18</f>
        <v>0</v>
      </c>
      <c r="J27" s="326">
        <f ca="1">Debt!J18</f>
        <v>0</v>
      </c>
      <c r="K27" s="326">
        <f ca="1">Debt!K18</f>
        <v>0</v>
      </c>
      <c r="L27" s="326">
        <f ca="1">Debt!L18</f>
        <v>0</v>
      </c>
      <c r="M27" s="326">
        <f ca="1">Debt!M18</f>
        <v>0</v>
      </c>
      <c r="N27" s="326">
        <f ca="1">Debt!N18</f>
        <v>0</v>
      </c>
      <c r="O27" s="326">
        <f ca="1">Debt!O18</f>
        <v>0</v>
      </c>
      <c r="P27" s="254"/>
    </row>
    <row r="28" spans="1:16">
      <c r="A28" s="254"/>
      <c r="B28" s="254" t="s">
        <v>227</v>
      </c>
      <c r="C28" s="341"/>
      <c r="D28" s="341"/>
      <c r="E28" s="325">
        <v>0</v>
      </c>
      <c r="F28" s="325">
        <v>2098</v>
      </c>
      <c r="G28" s="325">
        <v>8884</v>
      </c>
      <c r="H28" s="331">
        <f t="shared" ref="H28:L29" si="17">G28</f>
        <v>8884</v>
      </c>
      <c r="I28" s="331">
        <f t="shared" si="17"/>
        <v>8884</v>
      </c>
      <c r="J28" s="331">
        <f t="shared" si="17"/>
        <v>8884</v>
      </c>
      <c r="K28" s="331">
        <f t="shared" si="17"/>
        <v>8884</v>
      </c>
      <c r="L28" s="331">
        <f t="shared" si="17"/>
        <v>8884</v>
      </c>
      <c r="M28" s="331">
        <f t="shared" ref="M28:O28" si="18">L28</f>
        <v>8884</v>
      </c>
      <c r="N28" s="331">
        <f t="shared" si="18"/>
        <v>8884</v>
      </c>
      <c r="O28" s="331">
        <f t="shared" si="18"/>
        <v>8884</v>
      </c>
      <c r="P28" s="254"/>
    </row>
    <row r="29" spans="1:16">
      <c r="A29" s="254"/>
      <c r="B29" s="254" t="s">
        <v>228</v>
      </c>
      <c r="C29" s="341"/>
      <c r="D29" s="341"/>
      <c r="E29" s="325">
        <v>375</v>
      </c>
      <c r="F29" s="325">
        <v>259</v>
      </c>
      <c r="G29" s="325">
        <v>451</v>
      </c>
      <c r="H29" s="331">
        <f t="shared" si="17"/>
        <v>451</v>
      </c>
      <c r="I29" s="331">
        <f t="shared" si="17"/>
        <v>451</v>
      </c>
      <c r="J29" s="331">
        <f t="shared" si="17"/>
        <v>451</v>
      </c>
      <c r="K29" s="331">
        <f t="shared" si="17"/>
        <v>451</v>
      </c>
      <c r="L29" s="331">
        <f t="shared" si="17"/>
        <v>451</v>
      </c>
      <c r="M29" s="331">
        <f t="shared" ref="M29:O29" si="19">L29</f>
        <v>451</v>
      </c>
      <c r="N29" s="331">
        <f t="shared" si="19"/>
        <v>451</v>
      </c>
      <c r="O29" s="331">
        <f t="shared" si="19"/>
        <v>451</v>
      </c>
      <c r="P29" s="254"/>
    </row>
    <row r="30" spans="1:16">
      <c r="A30" s="254"/>
      <c r="B30" s="254" t="s">
        <v>229</v>
      </c>
      <c r="C30" s="341"/>
      <c r="D30" s="341"/>
      <c r="E30" s="325">
        <v>339</v>
      </c>
      <c r="F30" s="325">
        <v>1315</v>
      </c>
      <c r="G30" s="325">
        <v>2073</v>
      </c>
      <c r="H30" s="326">
        <f>'Working Capital '!H14</f>
        <v>2623.8973440000004</v>
      </c>
      <c r="I30" s="326">
        <f>'Working Capital '!I14</f>
        <v>3322.0203417600001</v>
      </c>
      <c r="J30" s="326">
        <f>'Working Capital '!J14</f>
        <v>4225.5481340928</v>
      </c>
      <c r="K30" s="326">
        <f>'Working Capital '!K14</f>
        <v>5398.3697556387851</v>
      </c>
      <c r="L30" s="326">
        <f>'Working Capital '!L14</f>
        <v>6831.8815539608686</v>
      </c>
      <c r="M30" s="326">
        <f>'Working Capital '!M14</f>
        <v>7883.6432781429985</v>
      </c>
      <c r="N30" s="326">
        <f>'Working Capital '!N14</f>
        <v>8692.1868906184991</v>
      </c>
      <c r="O30" s="326">
        <f>'Working Capital '!O14</f>
        <v>9170.0088576494218</v>
      </c>
      <c r="P30" s="329"/>
    </row>
    <row r="31" spans="1:16">
      <c r="A31" s="254"/>
      <c r="B31" s="254" t="s">
        <v>230</v>
      </c>
      <c r="C31" s="344"/>
      <c r="D31" s="344"/>
      <c r="E31" s="325">
        <v>4659</v>
      </c>
      <c r="F31" s="325">
        <v>8961</v>
      </c>
      <c r="G31" s="325">
        <v>13544</v>
      </c>
      <c r="H31" s="326">
        <f>'Working Capital '!H15</f>
        <v>16399.358400000001</v>
      </c>
      <c r="I31" s="326">
        <f>'Working Capital '!I15</f>
        <v>20762.627135999999</v>
      </c>
      <c r="J31" s="326">
        <f>'Working Capital '!J15</f>
        <v>26409.675838080002</v>
      </c>
      <c r="K31" s="326">
        <f>'Working Capital '!K15</f>
        <v>33739.810972742409</v>
      </c>
      <c r="L31" s="326">
        <f>'Working Capital '!L15</f>
        <v>42699.259712255429</v>
      </c>
      <c r="M31" s="326">
        <f>'Working Capital '!M15</f>
        <v>49272.77048839374</v>
      </c>
      <c r="N31" s="326">
        <f>'Working Capital '!N15</f>
        <v>54326.168066365615</v>
      </c>
      <c r="O31" s="326">
        <f>'Working Capital '!O15</f>
        <v>57312.555360308885</v>
      </c>
      <c r="P31" s="254"/>
    </row>
    <row r="32" spans="1:16">
      <c r="A32" s="254"/>
      <c r="B32" s="254" t="s">
        <v>231</v>
      </c>
      <c r="C32" s="344"/>
      <c r="D32" s="344"/>
      <c r="E32" s="325">
        <v>745</v>
      </c>
      <c r="F32" s="325">
        <v>3083</v>
      </c>
      <c r="G32" s="325">
        <v>7879</v>
      </c>
      <c r="H32" s="326">
        <f>'Working Capital '!H16</f>
        <v>9839.6150400000006</v>
      </c>
      <c r="I32" s="326">
        <f>'Working Capital '!I16</f>
        <v>12457.576281599999</v>
      </c>
      <c r="J32" s="326">
        <f>'Working Capital '!J16</f>
        <v>15845.805502848001</v>
      </c>
      <c r="K32" s="326">
        <f>'Working Capital '!K16</f>
        <v>20243.886583645446</v>
      </c>
      <c r="L32" s="326">
        <f>'Working Capital '!L16</f>
        <v>25619.555827353255</v>
      </c>
      <c r="M32" s="326">
        <f>'Working Capital '!M16</f>
        <v>29563.662293036243</v>
      </c>
      <c r="N32" s="326">
        <f>'Working Capital '!N16</f>
        <v>32595.700839819368</v>
      </c>
      <c r="O32" s="326">
        <f>'Working Capital '!O16</f>
        <v>34387.533216185329</v>
      </c>
      <c r="P32" s="254"/>
    </row>
    <row r="33" spans="1:16">
      <c r="A33" s="254"/>
      <c r="B33" s="254" t="s">
        <v>232</v>
      </c>
      <c r="C33" s="344"/>
      <c r="D33" s="344"/>
      <c r="E33" s="325">
        <v>4350</v>
      </c>
      <c r="F33" s="325">
        <v>4929</v>
      </c>
      <c r="G33" s="325">
        <v>6306</v>
      </c>
      <c r="H33" s="326">
        <f>'Working Capital '!H17</f>
        <v>8199.6792000000005</v>
      </c>
      <c r="I33" s="326">
        <f>'Working Capital '!I17</f>
        <v>10381.313568</v>
      </c>
      <c r="J33" s="326">
        <f>'Working Capital '!J17</f>
        <v>13204.837919040001</v>
      </c>
      <c r="K33" s="326">
        <f>'Working Capital '!K17</f>
        <v>16869.905486371204</v>
      </c>
      <c r="L33" s="326">
        <f>'Working Capital '!L17</f>
        <v>21349.629856127714</v>
      </c>
      <c r="M33" s="326">
        <f>'Working Capital '!M17</f>
        <v>24636.38524419687</v>
      </c>
      <c r="N33" s="326">
        <f>'Working Capital '!N17</f>
        <v>27163.084033182808</v>
      </c>
      <c r="O33" s="326">
        <f>'Working Capital '!O17</f>
        <v>28656.277680154442</v>
      </c>
      <c r="P33" s="254"/>
    </row>
    <row r="34" spans="1:16">
      <c r="A34" s="254"/>
      <c r="B34" s="327" t="s">
        <v>49</v>
      </c>
      <c r="C34" s="342"/>
      <c r="D34" s="342"/>
      <c r="E34" s="328">
        <f>SUM(E27:E33)</f>
        <v>11751</v>
      </c>
      <c r="F34" s="328">
        <f>SUM(F27:F33)</f>
        <v>23995</v>
      </c>
      <c r="G34" s="328">
        <f t="shared" ref="G34:L34" si="20">SUM(G27:G33)</f>
        <v>40337</v>
      </c>
      <c r="H34" s="328">
        <f t="shared" si="20"/>
        <v>46397.549983999997</v>
      </c>
      <c r="I34" s="328">
        <f t="shared" ca="1" si="20"/>
        <v>56258.537327359998</v>
      </c>
      <c r="J34" s="328">
        <f t="shared" ca="1" si="20"/>
        <v>69020.867394060799</v>
      </c>
      <c r="K34" s="328">
        <f t="shared" ca="1" si="20"/>
        <v>85586.972798397852</v>
      </c>
      <c r="L34" s="328">
        <f t="shared" ca="1" si="20"/>
        <v>105835.32694969728</v>
      </c>
      <c r="M34" s="328">
        <f t="shared" ref="M34:O34" ca="1" si="21">SUM(M27:M33)</f>
        <v>120691.46130376984</v>
      </c>
      <c r="N34" s="328">
        <f t="shared" ca="1" si="21"/>
        <v>132112.13982998629</v>
      </c>
      <c r="O34" s="328">
        <f t="shared" ca="1" si="21"/>
        <v>138861.37511429808</v>
      </c>
      <c r="P34" s="254"/>
    </row>
    <row r="35" spans="1:16">
      <c r="A35" s="254"/>
      <c r="B35" s="254"/>
      <c r="C35" s="343"/>
      <c r="D35" s="343"/>
      <c r="E35" s="329"/>
      <c r="F35" s="329"/>
      <c r="G35" s="329"/>
      <c r="H35" s="329"/>
      <c r="I35" s="329"/>
      <c r="J35" s="329"/>
      <c r="K35" s="329"/>
      <c r="L35" s="329"/>
      <c r="M35" s="329"/>
      <c r="N35" s="329"/>
      <c r="O35" s="329"/>
      <c r="P35" s="254"/>
    </row>
    <row r="36" spans="1:16">
      <c r="A36" s="254"/>
      <c r="B36" s="254" t="s">
        <v>47</v>
      </c>
      <c r="C36" s="341"/>
      <c r="D36" s="341"/>
      <c r="E36" s="325">
        <v>529</v>
      </c>
      <c r="F36" s="325">
        <v>389</v>
      </c>
      <c r="G36" s="325">
        <v>396</v>
      </c>
      <c r="H36" s="331">
        <f t="shared" ref="H36:L38" si="22">G36</f>
        <v>396</v>
      </c>
      <c r="I36" s="331">
        <f t="shared" si="22"/>
        <v>396</v>
      </c>
      <c r="J36" s="331">
        <f t="shared" si="22"/>
        <v>396</v>
      </c>
      <c r="K36" s="331">
        <f t="shared" si="22"/>
        <v>396</v>
      </c>
      <c r="L36" s="331">
        <f t="shared" si="22"/>
        <v>396</v>
      </c>
      <c r="M36" s="331">
        <f t="shared" ref="M36:M38" si="23">L36</f>
        <v>396</v>
      </c>
      <c r="N36" s="331">
        <f t="shared" ref="N36:N38" si="24">M36</f>
        <v>396</v>
      </c>
      <c r="O36" s="331">
        <f t="shared" ref="O36:O38" si="25">N36</f>
        <v>396</v>
      </c>
      <c r="P36" s="254"/>
    </row>
    <row r="37" spans="1:16">
      <c r="A37" s="254"/>
      <c r="B37" s="254" t="s">
        <v>233</v>
      </c>
      <c r="C37" s="341"/>
      <c r="D37" s="341"/>
      <c r="E37" s="325">
        <v>413</v>
      </c>
      <c r="F37" s="325">
        <v>643</v>
      </c>
      <c r="G37" s="325">
        <v>1774</v>
      </c>
      <c r="H37" s="331">
        <f t="shared" si="22"/>
        <v>1774</v>
      </c>
      <c r="I37" s="331">
        <f t="shared" si="22"/>
        <v>1774</v>
      </c>
      <c r="J37" s="331">
        <f t="shared" si="22"/>
        <v>1774</v>
      </c>
      <c r="K37" s="331">
        <f t="shared" si="22"/>
        <v>1774</v>
      </c>
      <c r="L37" s="331">
        <f t="shared" si="22"/>
        <v>1774</v>
      </c>
      <c r="M37" s="331">
        <f t="shared" si="23"/>
        <v>1774</v>
      </c>
      <c r="N37" s="331">
        <f t="shared" si="24"/>
        <v>1774</v>
      </c>
      <c r="O37" s="331">
        <f t="shared" si="25"/>
        <v>1774</v>
      </c>
      <c r="P37" s="254"/>
    </row>
    <row r="38" spans="1:16">
      <c r="A38" s="254"/>
      <c r="B38" s="254" t="s">
        <v>234</v>
      </c>
      <c r="C38" s="341"/>
      <c r="D38" s="341"/>
      <c r="E38" s="330">
        <v>0</v>
      </c>
      <c r="F38" s="330">
        <v>5191</v>
      </c>
      <c r="G38" s="330">
        <v>0</v>
      </c>
      <c r="H38" s="331">
        <f t="shared" si="22"/>
        <v>0</v>
      </c>
      <c r="I38" s="331">
        <f t="shared" si="22"/>
        <v>0</v>
      </c>
      <c r="J38" s="331">
        <f t="shared" si="22"/>
        <v>0</v>
      </c>
      <c r="K38" s="331">
        <f t="shared" si="22"/>
        <v>0</v>
      </c>
      <c r="L38" s="331">
        <f t="shared" si="22"/>
        <v>0</v>
      </c>
      <c r="M38" s="331">
        <f t="shared" si="23"/>
        <v>0</v>
      </c>
      <c r="N38" s="331">
        <f t="shared" si="24"/>
        <v>0</v>
      </c>
      <c r="O38" s="331">
        <f t="shared" si="25"/>
        <v>0</v>
      </c>
      <c r="P38" s="254"/>
    </row>
    <row r="39" spans="1:16">
      <c r="A39" s="254"/>
      <c r="B39" s="254" t="s">
        <v>235</v>
      </c>
      <c r="C39" s="341"/>
      <c r="D39" s="341"/>
      <c r="E39" s="325">
        <v>0</v>
      </c>
      <c r="F39" s="325">
        <v>22462</v>
      </c>
      <c r="G39" s="325">
        <v>30226</v>
      </c>
      <c r="H39" s="326">
        <f>Debt!H24</f>
        <v>21450</v>
      </c>
      <c r="I39" s="326">
        <f>Debt!I24</f>
        <v>11420</v>
      </c>
      <c r="J39" s="326">
        <f>Debt!J24</f>
        <v>7620</v>
      </c>
      <c r="K39" s="326">
        <f>Debt!K24</f>
        <v>7141</v>
      </c>
      <c r="L39" s="326">
        <f>Debt!L24</f>
        <v>6662</v>
      </c>
      <c r="M39" s="326">
        <f>Debt!M24</f>
        <v>6183</v>
      </c>
      <c r="N39" s="326">
        <f>Debt!N24</f>
        <v>5704</v>
      </c>
      <c r="O39" s="326">
        <f>Debt!O24</f>
        <v>5225</v>
      </c>
      <c r="P39" s="254"/>
    </row>
    <row r="40" spans="1:16">
      <c r="A40" s="254"/>
      <c r="B40" s="254" t="s">
        <v>236</v>
      </c>
      <c r="C40" s="344"/>
      <c r="D40" s="344"/>
      <c r="E40" s="325">
        <v>104</v>
      </c>
      <c r="F40" s="325">
        <v>60</v>
      </c>
      <c r="G40" s="325">
        <v>72</v>
      </c>
      <c r="H40" s="331">
        <f>G40</f>
        <v>72</v>
      </c>
      <c r="I40" s="331">
        <f>H40</f>
        <v>72</v>
      </c>
      <c r="J40" s="331">
        <f>I40</f>
        <v>72</v>
      </c>
      <c r="K40" s="331">
        <f>J40</f>
        <v>72</v>
      </c>
      <c r="L40" s="331">
        <f>K40</f>
        <v>72</v>
      </c>
      <c r="M40" s="331">
        <f t="shared" ref="M40:O40" si="26">L40</f>
        <v>72</v>
      </c>
      <c r="N40" s="331">
        <f t="shared" si="26"/>
        <v>72</v>
      </c>
      <c r="O40" s="331">
        <f t="shared" si="26"/>
        <v>72</v>
      </c>
      <c r="P40" s="254"/>
    </row>
    <row r="41" spans="1:16">
      <c r="A41" s="254"/>
      <c r="B41" s="254"/>
      <c r="C41" s="345"/>
      <c r="D41" s="345"/>
      <c r="E41" s="254"/>
      <c r="F41" s="254"/>
      <c r="G41" s="254"/>
      <c r="H41" s="254"/>
      <c r="I41" s="254"/>
      <c r="J41" s="254"/>
      <c r="K41" s="254"/>
      <c r="L41" s="254"/>
      <c r="M41" s="254"/>
      <c r="N41" s="254"/>
      <c r="O41" s="254"/>
      <c r="P41" s="254"/>
    </row>
    <row r="42" spans="1:16">
      <c r="A42" s="254"/>
      <c r="B42" s="327" t="s">
        <v>1</v>
      </c>
      <c r="C42" s="342"/>
      <c r="D42" s="342"/>
      <c r="E42" s="328">
        <f>SUM(E36:E40)+E34</f>
        <v>12797</v>
      </c>
      <c r="F42" s="328">
        <f>SUM(F36:F40)+F34</f>
        <v>52740</v>
      </c>
      <c r="G42" s="328">
        <f t="shared" ref="G42:L42" si="27">SUM(G36:G40)+G34</f>
        <v>72805</v>
      </c>
      <c r="H42" s="328">
        <f t="shared" si="27"/>
        <v>70089.549983999997</v>
      </c>
      <c r="I42" s="328">
        <f t="shared" ca="1" si="27"/>
        <v>69920.537327359998</v>
      </c>
      <c r="J42" s="328">
        <f t="shared" ca="1" si="27"/>
        <v>78882.867394060799</v>
      </c>
      <c r="K42" s="328">
        <f t="shared" ca="1" si="27"/>
        <v>94969.972798397852</v>
      </c>
      <c r="L42" s="328">
        <f t="shared" ca="1" si="27"/>
        <v>114739.32694969728</v>
      </c>
      <c r="M42" s="328">
        <f t="shared" ref="M42:O42" ca="1" si="28">SUM(M36:M40)+M34</f>
        <v>129116.46130376984</v>
      </c>
      <c r="N42" s="328">
        <f t="shared" ca="1" si="28"/>
        <v>140058.13982998629</v>
      </c>
      <c r="O42" s="328">
        <f t="shared" ca="1" si="28"/>
        <v>146328.37511429808</v>
      </c>
      <c r="P42" s="254"/>
    </row>
    <row r="43" spans="1:16">
      <c r="A43" s="254"/>
      <c r="B43" s="254"/>
      <c r="C43" s="345"/>
      <c r="D43" s="345"/>
      <c r="E43" s="254"/>
      <c r="F43" s="254"/>
      <c r="G43" s="254"/>
      <c r="H43" s="254"/>
      <c r="I43" s="254"/>
      <c r="J43" s="254"/>
      <c r="K43" s="254"/>
      <c r="L43" s="254"/>
      <c r="M43" s="254"/>
      <c r="N43" s="254"/>
      <c r="O43" s="254"/>
      <c r="P43" s="254"/>
    </row>
    <row r="44" spans="1:16">
      <c r="A44" s="254"/>
      <c r="B44" s="340" t="s">
        <v>237</v>
      </c>
      <c r="C44" s="347"/>
      <c r="D44" s="347"/>
      <c r="E44" s="330"/>
      <c r="F44" s="325">
        <v>10447</v>
      </c>
      <c r="G44" s="330">
        <v>0</v>
      </c>
      <c r="H44" s="330"/>
      <c r="I44" s="330"/>
      <c r="J44" s="330"/>
      <c r="K44" s="330"/>
      <c r="L44" s="330"/>
      <c r="M44" s="330"/>
      <c r="N44" s="330"/>
      <c r="O44" s="330"/>
      <c r="P44" s="254"/>
    </row>
    <row r="45" spans="1:16">
      <c r="A45" s="254"/>
      <c r="B45" s="340" t="s">
        <v>201</v>
      </c>
      <c r="C45" s="345"/>
      <c r="D45" s="345"/>
      <c r="E45" s="378">
        <v>30</v>
      </c>
      <c r="F45" s="379">
        <v>86</v>
      </c>
      <c r="G45" s="330">
        <v>126</v>
      </c>
      <c r="H45" s="254"/>
      <c r="I45" s="254"/>
      <c r="J45" s="254"/>
      <c r="K45" s="254"/>
      <c r="L45" s="254"/>
      <c r="M45" s="254"/>
      <c r="N45" s="254"/>
      <c r="O45" s="254"/>
      <c r="P45" s="254"/>
    </row>
    <row r="46" spans="1:16">
      <c r="A46" s="254"/>
      <c r="B46" s="340" t="s">
        <v>238</v>
      </c>
      <c r="C46" s="344"/>
      <c r="D46" s="344"/>
      <c r="E46" s="377">
        <f>SUM(E44:E45)</f>
        <v>30</v>
      </c>
      <c r="F46" s="377">
        <f>SUM(F44:F45)</f>
        <v>10533</v>
      </c>
      <c r="G46" s="377">
        <f>SUM(G44:G45)</f>
        <v>126</v>
      </c>
      <c r="H46" s="377">
        <f>G46</f>
        <v>126</v>
      </c>
      <c r="I46" s="377">
        <f>H46</f>
        <v>126</v>
      </c>
      <c r="J46" s="377">
        <f>I46</f>
        <v>126</v>
      </c>
      <c r="K46" s="377">
        <f>J46</f>
        <v>126</v>
      </c>
      <c r="L46" s="377">
        <f>K46</f>
        <v>126</v>
      </c>
      <c r="M46" s="377">
        <f t="shared" ref="M46:O46" si="29">L46</f>
        <v>126</v>
      </c>
      <c r="N46" s="377">
        <f t="shared" si="29"/>
        <v>126</v>
      </c>
      <c r="O46" s="377">
        <f t="shared" si="29"/>
        <v>126</v>
      </c>
      <c r="P46" s="254"/>
    </row>
    <row r="47" spans="1:16">
      <c r="A47" s="254"/>
      <c r="B47" s="340" t="s">
        <v>239</v>
      </c>
      <c r="C47" s="348"/>
      <c r="D47" s="348"/>
      <c r="E47" s="335"/>
      <c r="F47" s="335"/>
      <c r="G47" s="335"/>
      <c r="H47" s="335"/>
      <c r="I47" s="335"/>
      <c r="J47" s="335"/>
      <c r="K47" s="335"/>
      <c r="L47" s="335"/>
      <c r="M47" s="335"/>
      <c r="N47" s="335"/>
      <c r="O47" s="335"/>
      <c r="P47" s="254"/>
    </row>
    <row r="48" spans="1:16">
      <c r="A48" s="254"/>
      <c r="B48" s="340" t="s">
        <v>249</v>
      </c>
      <c r="C48" s="348"/>
      <c r="D48" s="348"/>
      <c r="E48" s="335">
        <v>1</v>
      </c>
      <c r="F48" s="335">
        <v>1</v>
      </c>
      <c r="G48" s="335">
        <v>1</v>
      </c>
      <c r="H48" s="335"/>
      <c r="I48" s="335"/>
      <c r="J48" s="335"/>
      <c r="K48" s="335"/>
      <c r="L48" s="335"/>
      <c r="M48" s="335"/>
      <c r="N48" s="335"/>
      <c r="O48" s="335"/>
      <c r="P48" s="254"/>
    </row>
    <row r="49" spans="1:16">
      <c r="A49" s="254"/>
      <c r="B49" s="340" t="s">
        <v>50</v>
      </c>
      <c r="C49" s="348"/>
      <c r="D49" s="348"/>
      <c r="E49" s="352">
        <v>20778</v>
      </c>
      <c r="F49" s="353">
        <v>21655</v>
      </c>
      <c r="G49" s="352">
        <v>36173</v>
      </c>
      <c r="H49" s="352"/>
      <c r="I49" s="335"/>
      <c r="J49" s="335"/>
      <c r="K49" s="335"/>
      <c r="L49" s="335"/>
      <c r="M49" s="335"/>
      <c r="N49" s="335"/>
      <c r="O49" s="335"/>
      <c r="P49" s="254"/>
    </row>
    <row r="50" spans="1:16">
      <c r="A50" s="254"/>
      <c r="B50" s="340" t="s">
        <v>240</v>
      </c>
      <c r="C50" s="348"/>
      <c r="D50" s="348"/>
      <c r="E50" s="335">
        <v>0</v>
      </c>
      <c r="F50" s="335">
        <v>0</v>
      </c>
      <c r="G50" s="335">
        <v>0</v>
      </c>
      <c r="H50" s="335"/>
      <c r="I50" s="335"/>
      <c r="J50" s="335"/>
      <c r="K50" s="335"/>
      <c r="L50" s="335"/>
      <c r="M50" s="335"/>
      <c r="N50" s="335"/>
      <c r="O50" s="335"/>
      <c r="P50" s="254"/>
    </row>
    <row r="51" spans="1:16">
      <c r="A51" s="254"/>
      <c r="B51" s="340" t="s">
        <v>241</v>
      </c>
      <c r="C51" s="348"/>
      <c r="D51" s="348"/>
      <c r="E51" s="350">
        <v>-819</v>
      </c>
      <c r="F51" s="351">
        <v>-852</v>
      </c>
      <c r="G51" s="335">
        <v>-493</v>
      </c>
      <c r="H51" s="335"/>
      <c r="I51" s="335"/>
      <c r="J51" s="335"/>
      <c r="K51" s="335"/>
      <c r="L51" s="335"/>
      <c r="M51" s="335"/>
      <c r="N51" s="335"/>
      <c r="O51" s="335"/>
      <c r="P51" s="254"/>
    </row>
    <row r="52" spans="1:16">
      <c r="A52" s="254"/>
      <c r="B52" s="340" t="s">
        <v>242</v>
      </c>
      <c r="C52" s="347"/>
      <c r="D52" s="347"/>
      <c r="E52" s="334">
        <v>1096</v>
      </c>
      <c r="F52" s="334">
        <v>1337</v>
      </c>
      <c r="G52" s="334">
        <v>2388</v>
      </c>
      <c r="H52" s="334"/>
      <c r="I52" s="334"/>
      <c r="J52" s="334"/>
      <c r="K52" s="334"/>
      <c r="L52" s="334"/>
      <c r="M52" s="334"/>
      <c r="N52" s="334"/>
      <c r="O52" s="334"/>
      <c r="P52" s="254"/>
    </row>
    <row r="53" spans="1:16">
      <c r="A53" s="254"/>
      <c r="B53" s="340" t="s">
        <v>51</v>
      </c>
      <c r="C53" s="344"/>
      <c r="D53" s="344"/>
      <c r="E53" s="330"/>
      <c r="F53" s="330"/>
      <c r="G53" s="330"/>
      <c r="H53" s="330"/>
      <c r="I53" s="330"/>
      <c r="J53" s="330"/>
      <c r="K53" s="330"/>
      <c r="L53" s="330"/>
      <c r="M53" s="330"/>
      <c r="N53" s="330"/>
      <c r="O53" s="330"/>
      <c r="P53" s="254"/>
    </row>
    <row r="54" spans="1:16">
      <c r="A54" s="254"/>
      <c r="B54" s="340" t="s">
        <v>243</v>
      </c>
      <c r="C54" s="344"/>
      <c r="D54" s="344"/>
      <c r="E54" s="330">
        <v>-2121</v>
      </c>
      <c r="F54" s="330">
        <v>-1666</v>
      </c>
      <c r="G54" s="330">
        <v>-787</v>
      </c>
      <c r="H54" s="330"/>
      <c r="I54" s="330"/>
      <c r="J54" s="330"/>
      <c r="K54" s="330"/>
      <c r="L54" s="330"/>
      <c r="M54" s="330"/>
      <c r="N54" s="330"/>
      <c r="O54" s="330"/>
      <c r="P54" s="254"/>
    </row>
    <row r="55" spans="1:16">
      <c r="A55" s="254"/>
      <c r="B55" s="340" t="s">
        <v>244</v>
      </c>
      <c r="C55" s="344"/>
      <c r="D55" s="344"/>
      <c r="E55" s="330">
        <v>1</v>
      </c>
      <c r="F55" s="330">
        <v>-8</v>
      </c>
      <c r="G55" s="330">
        <v>139</v>
      </c>
      <c r="H55" s="330"/>
      <c r="I55" s="330"/>
      <c r="J55" s="330"/>
      <c r="K55" s="330"/>
      <c r="L55" s="330"/>
      <c r="M55" s="330"/>
      <c r="N55" s="330"/>
      <c r="O55" s="330"/>
      <c r="P55" s="254"/>
    </row>
    <row r="56" spans="1:16">
      <c r="A56" s="254"/>
      <c r="B56" s="340" t="s">
        <v>245</v>
      </c>
      <c r="C56" s="344"/>
      <c r="D56" s="344"/>
      <c r="E56" s="330">
        <v>12552</v>
      </c>
      <c r="F56" s="330">
        <v>-20491</v>
      </c>
      <c r="G56" s="330">
        <v>-4307</v>
      </c>
      <c r="H56" s="330"/>
      <c r="I56" s="330"/>
      <c r="J56" s="330"/>
      <c r="K56" s="330"/>
      <c r="L56" s="330"/>
      <c r="M56" s="330"/>
      <c r="N56" s="330"/>
      <c r="O56" s="330"/>
      <c r="P56" s="254"/>
    </row>
    <row r="57" spans="1:16">
      <c r="A57" s="254"/>
      <c r="B57" s="340" t="s">
        <v>246</v>
      </c>
      <c r="C57" s="344"/>
      <c r="D57" s="344"/>
      <c r="E57" s="325">
        <f>SUM(E48:E56)</f>
        <v>31488</v>
      </c>
      <c r="F57" s="325">
        <f>SUM(F48:F56)</f>
        <v>-24</v>
      </c>
      <c r="G57" s="325">
        <f>SUM(G48:G56)</f>
        <v>33114</v>
      </c>
      <c r="H57" s="325"/>
      <c r="I57" s="330"/>
      <c r="J57" s="330"/>
      <c r="K57" s="330"/>
      <c r="L57" s="330"/>
      <c r="M57" s="330"/>
      <c r="N57" s="330"/>
      <c r="O57" s="330"/>
      <c r="P57" s="254"/>
    </row>
    <row r="58" spans="1:16">
      <c r="A58" s="254"/>
      <c r="B58" s="340" t="s">
        <v>247</v>
      </c>
      <c r="C58" s="349"/>
      <c r="D58" s="349"/>
      <c r="E58" s="336">
        <v>2895</v>
      </c>
      <c r="F58" s="336">
        <v>537</v>
      </c>
      <c r="G58" s="336">
        <v>1013</v>
      </c>
      <c r="H58" s="336"/>
      <c r="I58" s="336"/>
      <c r="J58" s="336"/>
      <c r="K58" s="336"/>
      <c r="L58" s="336"/>
      <c r="M58" s="336"/>
      <c r="N58" s="336"/>
      <c r="O58" s="336"/>
      <c r="P58" s="254"/>
    </row>
    <row r="59" spans="1:16">
      <c r="A59" s="254"/>
      <c r="B59" s="340" t="s">
        <v>248</v>
      </c>
      <c r="C59" s="400"/>
      <c r="D59" s="400"/>
      <c r="E59" s="354">
        <f>SUM(E57:E58)</f>
        <v>34383</v>
      </c>
      <c r="F59" s="354">
        <f>SUM(F57:F58)</f>
        <v>513</v>
      </c>
      <c r="G59" s="401">
        <f>SUM(G57:G58)+6836</f>
        <v>40963</v>
      </c>
      <c r="H59" s="374">
        <f ca="1">'Shareholders Equity'!H9</f>
        <v>69598.240701179631</v>
      </c>
      <c r="I59" s="374">
        <f ca="1">'Shareholders Equity'!I9</f>
        <v>106041.22426734809</v>
      </c>
      <c r="J59" s="374">
        <f ca="1">'Shareholders Equity'!J9</f>
        <v>152681.09557324459</v>
      </c>
      <c r="K59" s="374">
        <f ca="1">'Shareholders Equity'!K9</f>
        <v>212164.16557870689</v>
      </c>
      <c r="L59" s="374">
        <f ca="1">'Shareholders Equity'!L9</f>
        <v>286191.33179892076</v>
      </c>
      <c r="M59" s="374">
        <f ca="1">'Shareholders Equity'!M9</f>
        <v>370341.84681237186</v>
      </c>
      <c r="N59" s="374">
        <f ca="1">'Shareholders Equity'!N9</f>
        <v>461776.61385000555</v>
      </c>
      <c r="O59" s="374">
        <f ca="1">'Shareholders Equity'!O9</f>
        <v>555708.02662483451</v>
      </c>
      <c r="P59" s="254"/>
    </row>
    <row r="60" spans="1:16">
      <c r="A60" s="254"/>
      <c r="B60" s="337" t="s">
        <v>73</v>
      </c>
      <c r="C60" s="328"/>
      <c r="D60" s="328"/>
      <c r="E60" s="328">
        <f>E59+E46+E42</f>
        <v>47210</v>
      </c>
      <c r="F60" s="328">
        <f>F59+F46+F42</f>
        <v>63786</v>
      </c>
      <c r="G60" s="328">
        <f t="shared" ref="G60:L60" si="30">G59+G46+G42</f>
        <v>113894</v>
      </c>
      <c r="H60" s="328">
        <f t="shared" ca="1" si="30"/>
        <v>139813.79068517964</v>
      </c>
      <c r="I60" s="328">
        <f t="shared" ca="1" si="30"/>
        <v>176087.76159470808</v>
      </c>
      <c r="J60" s="328">
        <f t="shared" ca="1" si="30"/>
        <v>231689.96296730539</v>
      </c>
      <c r="K60" s="328">
        <f t="shared" ca="1" si="30"/>
        <v>307260.13837710477</v>
      </c>
      <c r="L60" s="328">
        <f t="shared" ca="1" si="30"/>
        <v>401056.65874861804</v>
      </c>
      <c r="M60" s="328">
        <f t="shared" ref="M60:O60" ca="1" si="31">M59+M46+M42</f>
        <v>499584.30811614171</v>
      </c>
      <c r="N60" s="328">
        <f t="shared" ca="1" si="31"/>
        <v>601960.75367999182</v>
      </c>
      <c r="O60" s="328">
        <f t="shared" ca="1" si="31"/>
        <v>702162.40173913259</v>
      </c>
      <c r="P60" s="254"/>
    </row>
    <row r="61" spans="1:16">
      <c r="A61" s="254"/>
      <c r="B61" s="254"/>
      <c r="C61" s="254"/>
      <c r="D61" s="254"/>
      <c r="E61" s="254"/>
      <c r="F61" s="254"/>
      <c r="G61" s="254"/>
      <c r="H61" s="254"/>
      <c r="I61" s="254"/>
      <c r="J61" s="254"/>
      <c r="K61" s="254"/>
      <c r="L61" s="254"/>
      <c r="M61" s="254"/>
      <c r="N61" s="254"/>
      <c r="O61" s="254"/>
      <c r="P61" s="254"/>
    </row>
    <row r="62" spans="1:16">
      <c r="A62" s="254"/>
      <c r="B62" s="254" t="s">
        <v>9</v>
      </c>
      <c r="C62" s="338"/>
      <c r="D62" s="338"/>
      <c r="E62" s="338"/>
      <c r="F62" s="338"/>
      <c r="G62" s="338">
        <f t="shared" ref="G62:L62" si="32">G60-G23</f>
        <v>0</v>
      </c>
      <c r="H62" s="339">
        <f ca="1">H60-H23</f>
        <v>0</v>
      </c>
      <c r="I62" s="338">
        <f t="shared" ca="1" si="32"/>
        <v>0</v>
      </c>
      <c r="J62" s="338">
        <f t="shared" ca="1" si="32"/>
        <v>0</v>
      </c>
      <c r="K62" s="338">
        <f t="shared" ca="1" si="32"/>
        <v>0</v>
      </c>
      <c r="L62" s="338">
        <f t="shared" ca="1" si="32"/>
        <v>0</v>
      </c>
      <c r="M62" s="338">
        <f t="shared" ref="M62:O62" ca="1" si="33">M60-M23</f>
        <v>0</v>
      </c>
      <c r="N62" s="338">
        <f t="shared" ca="1" si="33"/>
        <v>0</v>
      </c>
      <c r="O62" s="338">
        <f t="shared" ca="1" si="33"/>
        <v>0</v>
      </c>
      <c r="P62" s="254"/>
    </row>
    <row r="63" spans="1:16">
      <c r="A63" s="254"/>
      <c r="B63" s="254"/>
      <c r="C63" s="254"/>
      <c r="D63" s="339"/>
      <c r="E63" s="254"/>
      <c r="F63" s="254"/>
      <c r="G63" s="254"/>
      <c r="H63" s="254"/>
      <c r="I63" s="339"/>
      <c r="J63" s="339"/>
      <c r="K63" s="339"/>
      <c r="L63" s="339"/>
      <c r="M63" s="339"/>
      <c r="N63" s="339"/>
      <c r="O63" s="339"/>
      <c r="P63" s="254"/>
    </row>
  </sheetData>
  <mergeCells count="2">
    <mergeCell ref="C3:G3"/>
    <mergeCell ref="H3:L3"/>
  </mergeCells>
  <pageMargins left="0.7" right="0.7" top="0.75" bottom="0.75" header="0.3" footer="0.3"/>
  <pageSetup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:O96"/>
  <sheetViews>
    <sheetView showGridLines="0" zoomScale="85" zoomScaleNormal="85" workbookViewId="0">
      <pane xSplit="2" ySplit="4" topLeftCell="C5" activePane="bottomRight" state="frozen"/>
      <selection pane="topRight" activeCell="C1" sqref="C1"/>
      <selection pane="bottomLeft" activeCell="A6" sqref="A6"/>
      <selection pane="bottomRight"/>
    </sheetView>
  </sheetViews>
  <sheetFormatPr defaultRowHeight="12.75"/>
  <cols>
    <col min="1" max="1" width="1.85546875" style="269" customWidth="1"/>
    <col min="2" max="2" width="49.28515625" style="269" customWidth="1"/>
    <col min="3" max="3" width="10.28515625" style="272" customWidth="1"/>
    <col min="4" max="7" width="12.42578125" style="269" bestFit="1" customWidth="1"/>
    <col min="8" max="10" width="14" style="269" bestFit="1" customWidth="1"/>
    <col min="11" max="11" width="14" style="269" customWidth="1"/>
    <col min="12" max="15" width="13.5703125" style="269" customWidth="1"/>
    <col min="16" max="16384" width="9.140625" style="269"/>
  </cols>
  <sheetData>
    <row r="1" spans="1:15" s="258" customFormat="1" ht="32.25">
      <c r="A1" s="261" t="str">
        <f>Index!A1</f>
        <v>Alibaba IPO</v>
      </c>
      <c r="B1" s="257"/>
      <c r="C1" s="257"/>
      <c r="D1" s="257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</row>
    <row r="2" spans="1:15" s="258" customFormat="1" ht="23.25">
      <c r="A2" s="260" t="s">
        <v>195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</row>
    <row r="3" spans="1:15" s="258" customFormat="1" ht="26.25">
      <c r="A3" s="260"/>
      <c r="B3" s="260"/>
      <c r="C3" s="422" t="s">
        <v>101</v>
      </c>
      <c r="D3" s="422"/>
      <c r="E3" s="422"/>
      <c r="F3" s="422"/>
      <c r="G3" s="422"/>
      <c r="H3" s="422" t="s">
        <v>102</v>
      </c>
      <c r="I3" s="422"/>
      <c r="J3" s="422"/>
      <c r="K3" s="422"/>
      <c r="L3" s="422"/>
      <c r="M3" s="422"/>
      <c r="N3" s="422"/>
      <c r="O3" s="422"/>
    </row>
    <row r="4" spans="1:15" ht="15.75" thickBot="1">
      <c r="A4" s="8"/>
      <c r="B4" s="165" t="s">
        <v>217</v>
      </c>
      <c r="C4" s="11">
        <f>BS!C4</f>
        <v>40268</v>
      </c>
      <c r="D4" s="11">
        <f>BS!D4</f>
        <v>40633</v>
      </c>
      <c r="E4" s="11">
        <f>BS!E4</f>
        <v>40999</v>
      </c>
      <c r="F4" s="11">
        <f>BS!F4</f>
        <v>41364</v>
      </c>
      <c r="G4" s="11">
        <f>BS!G4</f>
        <v>41729</v>
      </c>
      <c r="H4" s="11">
        <f>BS!H4</f>
        <v>42094</v>
      </c>
      <c r="I4" s="11">
        <f>BS!I4</f>
        <v>42460</v>
      </c>
      <c r="J4" s="11">
        <f>BS!J4</f>
        <v>42825</v>
      </c>
      <c r="K4" s="11">
        <f>BS!K4</f>
        <v>43190</v>
      </c>
      <c r="L4" s="11">
        <f>BS!L4</f>
        <v>43555</v>
      </c>
      <c r="M4" s="11">
        <f>BS!M4</f>
        <v>43921</v>
      </c>
      <c r="N4" s="11">
        <f>BS!N4</f>
        <v>44286</v>
      </c>
      <c r="O4" s="11">
        <f>BS!O4</f>
        <v>44651</v>
      </c>
    </row>
    <row r="5" spans="1:15" ht="15">
      <c r="A5" s="8"/>
      <c r="B5" s="84" t="s">
        <v>61</v>
      </c>
      <c r="C5"/>
      <c r="D5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spans="1:15" ht="15">
      <c r="A6" s="8"/>
      <c r="B6" t="s">
        <v>250</v>
      </c>
      <c r="C6" s="118"/>
      <c r="D6" s="118"/>
      <c r="E6" s="118">
        <v>4665</v>
      </c>
      <c r="F6" s="118">
        <v>8649</v>
      </c>
      <c r="G6" s="402">
        <f>17742+6836</f>
        <v>24578</v>
      </c>
      <c r="H6" s="166">
        <f ca="1">IS!H42</f>
        <v>28635.240701179639</v>
      </c>
      <c r="I6" s="166">
        <f ca="1">IS!I42</f>
        <v>36442.98356616847</v>
      </c>
      <c r="J6" s="166">
        <f ca="1">IS!J42</f>
        <v>46639.8713058965</v>
      </c>
      <c r="K6" s="166">
        <f ca="1">IS!K42</f>
        <v>59483.070005462301</v>
      </c>
      <c r="L6" s="166">
        <f ca="1">IS!L42</f>
        <v>74027.166220213869</v>
      </c>
      <c r="M6" s="166">
        <f ca="1">IS!M42</f>
        <v>84150.515013451091</v>
      </c>
      <c r="N6" s="166">
        <f ca="1">IS!N42</f>
        <v>91434.767037633719</v>
      </c>
      <c r="O6" s="166">
        <f ca="1">IS!O42</f>
        <v>93931.412774828932</v>
      </c>
    </row>
    <row r="7" spans="1:15" ht="15">
      <c r="A7" s="8"/>
      <c r="B7" t="s">
        <v>251</v>
      </c>
      <c r="C7" s="64"/>
      <c r="D7" s="64"/>
      <c r="E7" s="118"/>
      <c r="F7" s="118"/>
      <c r="G7" s="118"/>
      <c r="H7" s="166"/>
      <c r="I7" s="166"/>
      <c r="J7" s="166"/>
      <c r="K7" s="166"/>
      <c r="L7" s="8"/>
      <c r="M7" s="8"/>
      <c r="N7" s="8"/>
      <c r="O7" s="8"/>
    </row>
    <row r="8" spans="1:15" ht="15">
      <c r="A8" s="8"/>
      <c r="B8" s="94" t="s">
        <v>252</v>
      </c>
      <c r="C8" s="118"/>
      <c r="D8" s="118"/>
      <c r="E8" s="118">
        <v>-24</v>
      </c>
      <c r="F8" s="118">
        <v>-68</v>
      </c>
      <c r="G8" s="118">
        <v>3</v>
      </c>
      <c r="H8" s="166"/>
      <c r="I8" s="166"/>
      <c r="J8" s="166"/>
      <c r="K8" s="166"/>
      <c r="L8" s="8"/>
      <c r="M8" s="8"/>
      <c r="N8" s="8"/>
      <c r="O8" s="8"/>
    </row>
    <row r="9" spans="1:15" ht="15">
      <c r="A9" s="8"/>
      <c r="B9" s="94" t="s">
        <v>253</v>
      </c>
      <c r="C9" s="118"/>
      <c r="D9" s="118"/>
      <c r="E9" s="118">
        <v>138</v>
      </c>
      <c r="F9" s="118">
        <v>-80</v>
      </c>
      <c r="G9" s="118">
        <v>-151</v>
      </c>
      <c r="H9" s="166"/>
      <c r="I9" s="166"/>
      <c r="J9" s="166"/>
      <c r="K9" s="166"/>
      <c r="L9" s="8"/>
      <c r="M9" s="8"/>
      <c r="N9" s="8"/>
      <c r="O9" s="8"/>
    </row>
    <row r="10" spans="1:15" ht="15">
      <c r="A10" s="8"/>
      <c r="B10" s="94" t="s">
        <v>254</v>
      </c>
      <c r="C10" s="118"/>
      <c r="D10" s="118"/>
      <c r="E10" s="118">
        <v>264</v>
      </c>
      <c r="F10" s="118">
        <v>245</v>
      </c>
      <c r="G10" s="118">
        <v>-36</v>
      </c>
      <c r="H10" s="166"/>
      <c r="I10" s="166"/>
      <c r="J10" s="166"/>
      <c r="K10" s="166"/>
      <c r="L10" s="8"/>
      <c r="M10" s="8"/>
      <c r="N10" s="8"/>
      <c r="O10" s="8"/>
    </row>
    <row r="11" spans="1:15" ht="15">
      <c r="A11" s="8"/>
      <c r="B11" s="94" t="s">
        <v>255</v>
      </c>
      <c r="C11" s="118"/>
      <c r="D11" s="118"/>
      <c r="E11" s="118">
        <v>3</v>
      </c>
      <c r="F11" s="118">
        <v>-8</v>
      </c>
      <c r="G11" s="118">
        <v>-316</v>
      </c>
      <c r="H11" s="166"/>
      <c r="I11" s="166"/>
      <c r="J11" s="166"/>
      <c r="K11" s="166"/>
      <c r="L11" s="8"/>
      <c r="M11" s="8"/>
      <c r="N11" s="8"/>
      <c r="O11" s="8"/>
    </row>
    <row r="12" spans="1:15" ht="15">
      <c r="A12" s="8"/>
      <c r="B12" s="94" t="s">
        <v>256</v>
      </c>
      <c r="C12" s="64"/>
      <c r="D12" s="64"/>
      <c r="E12" s="118">
        <v>715</v>
      </c>
      <c r="F12" s="118">
        <v>805</v>
      </c>
      <c r="G12" s="118">
        <v>947</v>
      </c>
      <c r="H12" s="166">
        <f>-'Dep Capex '!H12</f>
        <v>2690.8610488695163</v>
      </c>
      <c r="I12" s="166">
        <f>-'Dep Capex '!I12</f>
        <v>5069.3462106130846</v>
      </c>
      <c r="J12" s="166">
        <f>-'Dep Capex '!J12</f>
        <v>8088.5234975863787</v>
      </c>
      <c r="K12" s="166">
        <f>-'Dep Capex '!K12</f>
        <v>11938.28178693936</v>
      </c>
      <c r="L12" s="166">
        <f>-'Dep Capex '!L12</f>
        <v>16830.625206685076</v>
      </c>
      <c r="M12" s="166">
        <f>-'Dep Capex '!M12</f>
        <v>22717.127393597591</v>
      </c>
      <c r="N12" s="166">
        <f>-'Dep Capex '!N12</f>
        <v>29347.788661310937</v>
      </c>
      <c r="O12" s="166">
        <f>-'Dep Capex '!O12</f>
        <v>36493.021708374879</v>
      </c>
    </row>
    <row r="13" spans="1:15" ht="15">
      <c r="A13" s="8"/>
      <c r="B13" s="94" t="s">
        <v>205</v>
      </c>
      <c r="C13" s="118"/>
      <c r="D13" s="118"/>
      <c r="E13" s="118">
        <v>155</v>
      </c>
      <c r="F13" s="118">
        <v>130</v>
      </c>
      <c r="G13" s="118">
        <v>197</v>
      </c>
      <c r="H13" s="166">
        <f>-'Amort Intangible'!H12</f>
        <v>71</v>
      </c>
      <c r="I13" s="166">
        <f>-'Amort Intangible'!I12</f>
        <v>42</v>
      </c>
      <c r="J13" s="166">
        <f>-'Amort Intangible'!J12</f>
        <v>30</v>
      </c>
      <c r="K13" s="166">
        <f>-'Amort Intangible'!K12</f>
        <v>26</v>
      </c>
      <c r="L13" s="166">
        <f>-'Amort Intangible'!L12</f>
        <v>46</v>
      </c>
      <c r="M13" s="166">
        <f>-'Amort Intangible'!M12</f>
        <v>50</v>
      </c>
      <c r="N13" s="166">
        <f>-'Amort Intangible'!N12</f>
        <v>50</v>
      </c>
      <c r="O13" s="166">
        <f>-'Amort Intangible'!O12</f>
        <v>50</v>
      </c>
    </row>
    <row r="14" spans="1:15" ht="15">
      <c r="A14" s="8"/>
      <c r="B14" t="s">
        <v>257</v>
      </c>
      <c r="C14" s="64"/>
      <c r="D14" s="64"/>
      <c r="E14" s="118">
        <v>1254</v>
      </c>
      <c r="F14" s="118">
        <v>1259</v>
      </c>
      <c r="G14" s="118">
        <v>1919</v>
      </c>
      <c r="H14" s="166"/>
      <c r="I14" s="166"/>
      <c r="J14" s="166"/>
      <c r="K14" s="166"/>
      <c r="L14" s="166"/>
      <c r="M14" s="166"/>
      <c r="N14" s="166"/>
      <c r="O14" s="166"/>
    </row>
    <row r="15" spans="1:15" ht="15">
      <c r="A15" s="8"/>
      <c r="B15" s="94" t="s">
        <v>258</v>
      </c>
      <c r="C15" s="118"/>
      <c r="D15" s="118"/>
      <c r="E15" s="118" t="s">
        <v>208</v>
      </c>
      <c r="F15" s="118" t="s">
        <v>208</v>
      </c>
      <c r="G15" s="118">
        <v>1269</v>
      </c>
      <c r="H15" s="166"/>
      <c r="I15" s="166"/>
      <c r="J15" s="166"/>
      <c r="K15" s="166"/>
      <c r="L15" s="8"/>
      <c r="M15" s="8"/>
      <c r="N15" s="8"/>
      <c r="O15" s="8"/>
    </row>
    <row r="16" spans="1:15" ht="15">
      <c r="A16" s="8"/>
      <c r="B16" s="94" t="s">
        <v>206</v>
      </c>
      <c r="C16" s="118"/>
      <c r="D16" s="118"/>
      <c r="E16" s="118">
        <v>135</v>
      </c>
      <c r="F16" s="118">
        <v>175</v>
      </c>
      <c r="G16" s="118">
        <v>44</v>
      </c>
      <c r="H16" s="166"/>
      <c r="I16" s="166"/>
      <c r="J16" s="166"/>
      <c r="K16" s="166"/>
      <c r="L16" s="8"/>
      <c r="M16" s="8"/>
      <c r="N16" s="8"/>
      <c r="O16" s="8"/>
    </row>
    <row r="17" spans="1:15" ht="15">
      <c r="A17" s="8"/>
      <c r="B17" s="94" t="s">
        <v>259</v>
      </c>
      <c r="C17" s="118"/>
      <c r="D17" s="118"/>
      <c r="E17" s="118">
        <v>3</v>
      </c>
      <c r="F17" s="118">
        <v>3</v>
      </c>
      <c r="G17" s="118">
        <v>-1</v>
      </c>
      <c r="H17" s="166"/>
      <c r="I17" s="166"/>
      <c r="J17" s="166"/>
      <c r="K17" s="166"/>
      <c r="L17" s="8"/>
      <c r="M17" s="8"/>
      <c r="N17" s="8"/>
      <c r="O17" s="8"/>
    </row>
    <row r="18" spans="1:15" ht="15">
      <c r="A18" s="8"/>
      <c r="B18" s="94" t="s">
        <v>212</v>
      </c>
      <c r="C18" s="118"/>
      <c r="D18" s="118"/>
      <c r="E18" s="118">
        <v>25</v>
      </c>
      <c r="F18" s="118">
        <v>6</v>
      </c>
      <c r="G18" s="118">
        <v>174</v>
      </c>
      <c r="H18" s="166"/>
      <c r="I18" s="166"/>
      <c r="J18" s="166"/>
      <c r="K18" s="166"/>
      <c r="L18" s="8"/>
      <c r="M18" s="8"/>
      <c r="N18" s="8"/>
      <c r="O18" s="8"/>
    </row>
    <row r="19" spans="1:15" ht="15">
      <c r="A19" s="8"/>
      <c r="B19" s="94" t="s">
        <v>260</v>
      </c>
      <c r="C19" s="118"/>
      <c r="D19" s="118"/>
      <c r="E19" s="118">
        <v>150</v>
      </c>
      <c r="F19" s="118">
        <v>104</v>
      </c>
      <c r="G19" s="118">
        <v>1141</v>
      </c>
      <c r="H19" s="166"/>
      <c r="I19" s="166"/>
      <c r="J19" s="166"/>
      <c r="K19" s="166"/>
      <c r="L19" s="8"/>
      <c r="M19" s="8"/>
      <c r="N19" s="8"/>
      <c r="O19" s="8"/>
    </row>
    <row r="20" spans="1:15" ht="15">
      <c r="A20" s="8"/>
      <c r="B20" s="94" t="s">
        <v>261</v>
      </c>
      <c r="C20" s="118"/>
      <c r="D20" s="118"/>
      <c r="E20" s="118">
        <v>4</v>
      </c>
      <c r="F20" s="118">
        <v>120</v>
      </c>
      <c r="G20" s="118">
        <v>359</v>
      </c>
      <c r="H20" s="166"/>
      <c r="I20" s="166"/>
      <c r="J20" s="166"/>
      <c r="K20" s="166"/>
      <c r="L20" s="8"/>
      <c r="M20" s="8"/>
      <c r="N20" s="8"/>
      <c r="O20" s="8"/>
    </row>
    <row r="21" spans="1:15" ht="15">
      <c r="A21" s="8"/>
      <c r="B21" s="94" t="s">
        <v>262</v>
      </c>
      <c r="C21" s="118"/>
      <c r="D21" s="118"/>
      <c r="E21" s="118"/>
      <c r="F21" s="118"/>
      <c r="G21" s="118"/>
      <c r="H21" s="166"/>
      <c r="I21" s="166"/>
      <c r="J21" s="166"/>
      <c r="K21" s="166"/>
      <c r="L21" s="8"/>
      <c r="M21" s="8"/>
      <c r="N21" s="8"/>
      <c r="O21" s="8"/>
    </row>
    <row r="22" spans="1:15" ht="15">
      <c r="A22" s="8"/>
      <c r="B22" s="94" t="s">
        <v>219</v>
      </c>
      <c r="C22" s="118"/>
      <c r="D22" s="118"/>
      <c r="E22" s="118">
        <v>-113</v>
      </c>
      <c r="F22" s="118">
        <v>-974</v>
      </c>
      <c r="G22" s="118">
        <v>-760</v>
      </c>
      <c r="H22" s="166">
        <f>BS!G10-BS!H10</f>
        <v>0</v>
      </c>
      <c r="I22" s="166">
        <f>BS!H10-BS!I10</f>
        <v>0</v>
      </c>
      <c r="J22" s="166">
        <f>BS!I10-BS!J10</f>
        <v>0</v>
      </c>
      <c r="K22" s="166">
        <f>BS!J10-BS!K10</f>
        <v>0</v>
      </c>
      <c r="L22" s="166">
        <f>BS!K10-BS!L10</f>
        <v>0</v>
      </c>
      <c r="M22" s="166">
        <f>BS!L10-BS!M10</f>
        <v>0</v>
      </c>
      <c r="N22" s="166">
        <f>BS!M10-BS!N10</f>
        <v>0</v>
      </c>
      <c r="O22" s="166">
        <f>BS!N10-BS!O10</f>
        <v>0</v>
      </c>
    </row>
    <row r="23" spans="1:15" ht="15">
      <c r="A23" s="8"/>
      <c r="B23" s="94" t="s">
        <v>263</v>
      </c>
      <c r="C23" s="118"/>
      <c r="D23" s="118"/>
      <c r="E23" s="118">
        <v>-226</v>
      </c>
      <c r="F23" s="118">
        <v>-2828</v>
      </c>
      <c r="G23" s="118">
        <v>-8367</v>
      </c>
      <c r="H23" s="166">
        <f>BS!G11-BS!H11</f>
        <v>-2598.7452000000012</v>
      </c>
      <c r="I23" s="166">
        <f>BS!H11-BS!I11</f>
        <v>-3999.6630079999995</v>
      </c>
      <c r="J23" s="166">
        <f>BS!I11-BS!J11</f>
        <v>-5176.4613102400035</v>
      </c>
      <c r="K23" s="166">
        <f>BS!J11-BS!K11</f>
        <v>-6719.2905401072021</v>
      </c>
      <c r="L23" s="166">
        <f>BS!K11-BS!L11</f>
        <v>-8212.8280112202665</v>
      </c>
      <c r="M23" s="166">
        <f>BS!L11-BS!M11</f>
        <v>-6025.7182114601237</v>
      </c>
      <c r="N23" s="166">
        <f>BS!M11-BS!N11</f>
        <v>-4632.2811131408889</v>
      </c>
      <c r="O23" s="166">
        <f>BS!N11-BS!O11</f>
        <v>-2737.5216861146619</v>
      </c>
    </row>
    <row r="24" spans="1:15" ht="15">
      <c r="A24" s="8"/>
      <c r="B24" s="94" t="s">
        <v>222</v>
      </c>
      <c r="C24" s="118"/>
      <c r="D24" s="118"/>
      <c r="E24" s="118">
        <v>-240</v>
      </c>
      <c r="F24" s="118">
        <v>-354</v>
      </c>
      <c r="G24" s="118">
        <v>-1241</v>
      </c>
      <c r="H24" s="166">
        <f>BS!G13-BS!H13+BS!G18-BS!H18</f>
        <v>-778.1863000000003</v>
      </c>
      <c r="I24" s="166">
        <f>BS!H13-BS!I13+BS!H18-BS!I18</f>
        <v>-999.91575199999988</v>
      </c>
      <c r="J24" s="166">
        <f>BS!I13-BS!J13+BS!I18-BS!J18</f>
        <v>-1294.1153275600009</v>
      </c>
      <c r="K24" s="166">
        <f>BS!J13-BS!K13+BS!J18-BS!K18</f>
        <v>-1679.8226350268005</v>
      </c>
      <c r="L24" s="166">
        <f>BS!K13-BS!L13+BS!K18-BS!L18</f>
        <v>-2053.2070028050666</v>
      </c>
      <c r="M24" s="166">
        <f>BS!L13-BS!M13+BS!L18-BS!M18</f>
        <v>-1506.4295528650309</v>
      </c>
      <c r="N24" s="166">
        <f>BS!M13-BS!N13+BS!M18-BS!N18</f>
        <v>-1158.0702782852222</v>
      </c>
      <c r="O24" s="166">
        <f>BS!N13-BS!O13+BS!N18-BS!O18</f>
        <v>-684.38042152866547</v>
      </c>
    </row>
    <row r="25" spans="1:15" ht="15">
      <c r="A25" s="8"/>
      <c r="B25" s="94" t="s">
        <v>228</v>
      </c>
      <c r="C25" s="118"/>
      <c r="D25" s="118"/>
      <c r="E25" s="118">
        <v>230</v>
      </c>
      <c r="F25" s="118">
        <v>-116</v>
      </c>
      <c r="G25" s="118">
        <v>192</v>
      </c>
      <c r="H25" s="166">
        <f>BS!H29-BS!G29</f>
        <v>0</v>
      </c>
      <c r="I25" s="166">
        <f>BS!I29-BS!H29</f>
        <v>0</v>
      </c>
      <c r="J25" s="166">
        <f>BS!J29-BS!I29</f>
        <v>0</v>
      </c>
      <c r="K25" s="166">
        <f>BS!K29-BS!J29</f>
        <v>0</v>
      </c>
      <c r="L25" s="166">
        <f>BS!L29-BS!K29</f>
        <v>0</v>
      </c>
      <c r="M25" s="166">
        <f>BS!M29-BS!L29</f>
        <v>0</v>
      </c>
      <c r="N25" s="166">
        <f>BS!N29-BS!M29</f>
        <v>0</v>
      </c>
      <c r="O25" s="166">
        <f>BS!O29-BS!N29</f>
        <v>0</v>
      </c>
    </row>
    <row r="26" spans="1:15" ht="15">
      <c r="A26" s="8"/>
      <c r="B26" s="94" t="s">
        <v>229</v>
      </c>
      <c r="C26" s="118"/>
      <c r="D26" s="118"/>
      <c r="E26" s="118">
        <v>94</v>
      </c>
      <c r="F26" s="118">
        <v>976</v>
      </c>
      <c r="G26" s="118">
        <v>758</v>
      </c>
      <c r="H26" s="166">
        <f>BS!H30-BS!G30</f>
        <v>550.89734400000043</v>
      </c>
      <c r="I26" s="166">
        <f>BS!I30-BS!H30</f>
        <v>698.12299775999963</v>
      </c>
      <c r="J26" s="166">
        <f>BS!J30-BS!I30</f>
        <v>903.52779233279989</v>
      </c>
      <c r="K26" s="166">
        <f>BS!K30-BS!J30</f>
        <v>1172.8216215459852</v>
      </c>
      <c r="L26" s="166">
        <f>BS!L30-BS!K30</f>
        <v>1433.5117983220835</v>
      </c>
      <c r="M26" s="166">
        <f>BS!M30-BS!L30</f>
        <v>1051.7617241821299</v>
      </c>
      <c r="N26" s="166">
        <f>BS!N30-BS!M30</f>
        <v>808.54361247550059</v>
      </c>
      <c r="O26" s="166">
        <f>BS!O30-BS!N30</f>
        <v>477.82196703092268</v>
      </c>
    </row>
    <row r="27" spans="1:15" ht="15">
      <c r="A27" s="8"/>
      <c r="B27" s="94" t="s">
        <v>230</v>
      </c>
      <c r="C27" s="118"/>
      <c r="D27" s="118"/>
      <c r="E27" s="118">
        <v>1332</v>
      </c>
      <c r="F27" s="118">
        <v>3657</v>
      </c>
      <c r="G27" s="118">
        <v>4526</v>
      </c>
      <c r="H27" s="166">
        <f>BS!H31-BS!G31</f>
        <v>2855.358400000001</v>
      </c>
      <c r="I27" s="166">
        <f>BS!I31-BS!H31</f>
        <v>4363.2687359999982</v>
      </c>
      <c r="J27" s="166">
        <f>BS!J31-BS!I31</f>
        <v>5647.0487020800028</v>
      </c>
      <c r="K27" s="166">
        <f>BS!K31-BS!J31</f>
        <v>7330.1351346624069</v>
      </c>
      <c r="L27" s="166">
        <f>BS!L31-BS!K31</f>
        <v>8959.44873951302</v>
      </c>
      <c r="M27" s="166">
        <f>BS!M31-BS!L31</f>
        <v>6573.5107761383115</v>
      </c>
      <c r="N27" s="166">
        <f>BS!N31-BS!M31</f>
        <v>5053.3975779718749</v>
      </c>
      <c r="O27" s="166">
        <f>BS!O31-BS!N31</f>
        <v>2986.3872939432695</v>
      </c>
    </row>
    <row r="28" spans="1:15" ht="15">
      <c r="A28" s="8"/>
      <c r="B28" s="94" t="s">
        <v>231</v>
      </c>
      <c r="C28" s="118"/>
      <c r="D28" s="118"/>
      <c r="E28" s="118">
        <v>583</v>
      </c>
      <c r="F28" s="118">
        <v>2338</v>
      </c>
      <c r="G28" s="118">
        <v>4796</v>
      </c>
      <c r="H28" s="166">
        <f>BS!H32-BS!G32</f>
        <v>1960.6150400000006</v>
      </c>
      <c r="I28" s="166">
        <f>BS!I32-BS!H32</f>
        <v>2617.9612415999982</v>
      </c>
      <c r="J28" s="166">
        <f>BS!J32-BS!I32</f>
        <v>3388.2292212480024</v>
      </c>
      <c r="K28" s="166">
        <f>BS!K32-BS!J32</f>
        <v>4398.0810807974449</v>
      </c>
      <c r="L28" s="166">
        <f>BS!L32-BS!K32</f>
        <v>5375.6692437078091</v>
      </c>
      <c r="M28" s="166">
        <f>BS!M32-BS!L32</f>
        <v>3944.1064656829876</v>
      </c>
      <c r="N28" s="166">
        <f>BS!N32-BS!M32</f>
        <v>3032.0385467831256</v>
      </c>
      <c r="O28" s="166">
        <f>BS!O32-BS!N32</f>
        <v>1791.832376365961</v>
      </c>
    </row>
    <row r="29" spans="1:15" ht="15">
      <c r="A29" s="8"/>
      <c r="B29" s="94" t="s">
        <v>232</v>
      </c>
      <c r="C29" s="118"/>
      <c r="D29" s="118"/>
      <c r="E29" s="118">
        <v>128</v>
      </c>
      <c r="F29" s="118">
        <v>437</v>
      </c>
      <c r="G29" s="118">
        <v>1384</v>
      </c>
      <c r="H29" s="166">
        <f>BS!H33-BS!G33</f>
        <v>1893.6792000000005</v>
      </c>
      <c r="I29" s="166">
        <f>BS!I33-BS!H33</f>
        <v>2181.6343679999991</v>
      </c>
      <c r="J29" s="166">
        <f>BS!J33-BS!I33</f>
        <v>2823.5243510400014</v>
      </c>
      <c r="K29" s="166">
        <f>BS!K33-BS!J33</f>
        <v>3665.0675673312035</v>
      </c>
      <c r="L29" s="166">
        <f>BS!L33-BS!K33</f>
        <v>4479.72436975651</v>
      </c>
      <c r="M29" s="166">
        <f>BS!M33-BS!L33</f>
        <v>3286.7553880691557</v>
      </c>
      <c r="N29" s="166">
        <f>BS!N33-BS!M33</f>
        <v>2526.6987889859374</v>
      </c>
      <c r="O29" s="166">
        <f>BS!O33-BS!N33</f>
        <v>1493.1936469716347</v>
      </c>
    </row>
    <row r="30" spans="1:15" ht="15">
      <c r="A30" s="8"/>
      <c r="B30" s="91" t="s">
        <v>62</v>
      </c>
      <c r="C30" s="120"/>
      <c r="D30" s="120"/>
      <c r="E30" s="120">
        <f t="shared" ref="E30:L30" si="0">SUM(E6:E29)</f>
        <v>9275</v>
      </c>
      <c r="F30" s="120">
        <f t="shared" si="0"/>
        <v>14476</v>
      </c>
      <c r="G30" s="120">
        <f t="shared" si="0"/>
        <v>31415</v>
      </c>
      <c r="H30" s="120">
        <f t="shared" ca="1" si="0"/>
        <v>35280.720234049149</v>
      </c>
      <c r="I30" s="120">
        <f t="shared" ca="1" si="0"/>
        <v>46415.738360141549</v>
      </c>
      <c r="J30" s="120">
        <f t="shared" ca="1" si="0"/>
        <v>61050.14823238369</v>
      </c>
      <c r="K30" s="120">
        <f t="shared" ca="1" si="0"/>
        <v>79614.344021604702</v>
      </c>
      <c r="L30" s="120">
        <f t="shared" ca="1" si="0"/>
        <v>100886.11056417304</v>
      </c>
      <c r="M30" s="120">
        <f t="shared" ref="M30:N30" ca="1" si="1">SUM(M6:M29)</f>
        <v>114241.62899679612</v>
      </c>
      <c r="N30" s="120">
        <f t="shared" ca="1" si="1"/>
        <v>126462.882833735</v>
      </c>
      <c r="O30" s="120">
        <f t="shared" ref="O30" ca="1" si="2">SUM(O6:O29)</f>
        <v>133801.76765987225</v>
      </c>
    </row>
    <row r="31" spans="1:15" ht="15">
      <c r="A31" s="8"/>
      <c r="B31"/>
      <c r="C31" s="64"/>
      <c r="D31" s="64"/>
      <c r="E31" s="64"/>
      <c r="F31" s="119"/>
      <c r="G31" s="119"/>
      <c r="H31" s="119"/>
      <c r="I31" s="119"/>
      <c r="J31" s="119"/>
      <c r="K31" s="119"/>
      <c r="L31" s="8"/>
      <c r="M31" s="8"/>
      <c r="N31" s="8"/>
      <c r="O31" s="8"/>
    </row>
    <row r="32" spans="1:15" ht="15">
      <c r="A32" s="8"/>
      <c r="B32" s="84" t="s">
        <v>63</v>
      </c>
      <c r="C32" s="64"/>
      <c r="D32" s="64"/>
      <c r="E32" s="64"/>
      <c r="F32" s="119"/>
      <c r="G32" s="119"/>
      <c r="H32" s="119"/>
      <c r="I32" s="119"/>
      <c r="J32" s="119"/>
      <c r="K32" s="119"/>
      <c r="L32" s="8"/>
      <c r="M32" s="8"/>
      <c r="N32" s="8"/>
      <c r="O32" s="8"/>
    </row>
    <row r="33" spans="1:15" ht="15">
      <c r="A33" s="8"/>
      <c r="B33" s="94" t="s">
        <v>264</v>
      </c>
      <c r="C33" s="118"/>
      <c r="D33" s="118"/>
      <c r="E33" s="118">
        <v>3728</v>
      </c>
      <c r="F33" s="118">
        <v>2589</v>
      </c>
      <c r="G33" s="118">
        <v>-4965</v>
      </c>
      <c r="H33" s="166"/>
      <c r="I33" s="166"/>
      <c r="J33" s="166"/>
      <c r="K33" s="166"/>
      <c r="L33" s="8"/>
      <c r="M33" s="8"/>
      <c r="N33" s="8"/>
      <c r="O33" s="8"/>
    </row>
    <row r="34" spans="1:15" ht="15">
      <c r="A34" s="8"/>
      <c r="B34" s="94" t="s">
        <v>265</v>
      </c>
      <c r="C34" s="118"/>
      <c r="D34" s="118"/>
      <c r="E34" s="118">
        <v>-2108</v>
      </c>
      <c r="F34" s="118">
        <v>334</v>
      </c>
      <c r="G34" s="118">
        <v>291</v>
      </c>
      <c r="H34" s="166"/>
      <c r="I34" s="166"/>
      <c r="J34" s="166"/>
      <c r="K34" s="166"/>
      <c r="L34" s="8"/>
      <c r="M34" s="8"/>
      <c r="N34" s="8"/>
      <c r="O34" s="8"/>
    </row>
    <row r="35" spans="1:15" ht="15">
      <c r="A35" s="8"/>
      <c r="B35" s="94" t="s">
        <v>266</v>
      </c>
      <c r="C35" s="118"/>
      <c r="D35" s="118"/>
      <c r="E35" s="118">
        <v>167</v>
      </c>
      <c r="F35" s="118">
        <v>-12</v>
      </c>
      <c r="G35" s="118">
        <v>-160</v>
      </c>
      <c r="H35" s="166"/>
      <c r="I35" s="166"/>
      <c r="J35" s="166"/>
      <c r="K35" s="166"/>
      <c r="L35" s="8"/>
      <c r="M35" s="8"/>
      <c r="N35" s="8"/>
      <c r="O35" s="8"/>
    </row>
    <row r="36" spans="1:15" ht="15">
      <c r="A36" s="8"/>
      <c r="B36" s="94" t="s">
        <v>267</v>
      </c>
      <c r="C36" s="118"/>
      <c r="D36" s="118"/>
      <c r="E36" s="118">
        <v>-508</v>
      </c>
      <c r="F36" s="118">
        <v>-60</v>
      </c>
      <c r="G36" s="118">
        <v>-1051</v>
      </c>
      <c r="H36" s="166"/>
      <c r="I36" s="166"/>
      <c r="J36" s="166"/>
      <c r="K36" s="166"/>
      <c r="L36" s="8"/>
      <c r="M36" s="8"/>
      <c r="N36" s="8"/>
      <c r="O36" s="8"/>
    </row>
    <row r="37" spans="1:15" ht="15">
      <c r="A37" s="8"/>
      <c r="B37" s="94" t="s">
        <v>268</v>
      </c>
      <c r="C37" s="118"/>
      <c r="D37" s="118"/>
      <c r="E37" s="118">
        <v>1966</v>
      </c>
      <c r="F37" s="118">
        <v>26</v>
      </c>
      <c r="G37" s="118">
        <v>365</v>
      </c>
      <c r="H37" s="166"/>
      <c r="I37" s="166"/>
      <c r="J37" s="166"/>
      <c r="K37" s="166"/>
      <c r="L37" s="8"/>
      <c r="M37" s="8"/>
      <c r="N37" s="8"/>
      <c r="O37" s="8"/>
    </row>
    <row r="38" spans="1:15" ht="15">
      <c r="A38" s="8"/>
      <c r="B38" s="94" t="s">
        <v>269</v>
      </c>
      <c r="C38" s="118"/>
      <c r="D38" s="118"/>
      <c r="E38" s="118"/>
      <c r="F38" s="118"/>
      <c r="G38" s="118"/>
      <c r="H38" s="166"/>
      <c r="I38" s="166"/>
      <c r="J38" s="166"/>
      <c r="K38" s="166"/>
      <c r="L38" s="8"/>
      <c r="M38" s="8"/>
      <c r="N38" s="8"/>
      <c r="O38" s="8"/>
    </row>
    <row r="39" spans="1:15" ht="15">
      <c r="A39" s="8"/>
      <c r="B39" s="94" t="s">
        <v>270</v>
      </c>
      <c r="C39" s="118"/>
      <c r="D39" s="118"/>
      <c r="E39" s="118">
        <v>-1419</v>
      </c>
      <c r="F39" s="118">
        <v>-1457</v>
      </c>
      <c r="G39" s="118">
        <v>-1326</v>
      </c>
      <c r="H39" s="166"/>
      <c r="I39" s="166"/>
      <c r="J39" s="166"/>
      <c r="K39" s="166"/>
      <c r="L39" s="8"/>
      <c r="M39" s="8"/>
      <c r="N39" s="8"/>
      <c r="O39" s="8"/>
    </row>
    <row r="40" spans="1:15" ht="15">
      <c r="A40" s="8"/>
      <c r="B40" s="94" t="s">
        <v>271</v>
      </c>
      <c r="C40" s="118"/>
      <c r="D40" s="118"/>
      <c r="E40" s="118">
        <v>-749</v>
      </c>
      <c r="F40" s="118">
        <v>-1046</v>
      </c>
      <c r="G40" s="118">
        <v>-3010</v>
      </c>
      <c r="H40" s="166">
        <f>-('Dep Capex '!H7+'Amort Intangible'!H7)</f>
        <v>-9224.6391000000003</v>
      </c>
      <c r="I40" s="166">
        <f>-('Dep Capex '!I7+'Amort Intangible'!I7)</f>
        <v>-11678.977764000001</v>
      </c>
      <c r="J40" s="166">
        <f>-('Dep Capex '!J7+'Amort Intangible'!J7)</f>
        <v>-14855.442658920005</v>
      </c>
      <c r="K40" s="166">
        <f>-('Dep Capex '!K7+'Amort Intangible'!K7)</f>
        <v>-18978.643672167607</v>
      </c>
      <c r="L40" s="166">
        <f>-('Dep Capex '!L7+'Amort Intangible'!L7)</f>
        <v>-24018.33358814368</v>
      </c>
      <c r="M40" s="166">
        <f>-('Dep Capex '!M7+'Amort Intangible'!M7)</f>
        <v>-27715.933399721482</v>
      </c>
      <c r="N40" s="166">
        <f>-('Dep Capex '!N7+'Amort Intangible'!N7)</f>
        <v>-30558.46953733066</v>
      </c>
      <c r="O40" s="166">
        <f>-('Dep Capex '!O7+'Amort Intangible'!O7)</f>
        <v>-32238.312390173753</v>
      </c>
    </row>
    <row r="41" spans="1:15" ht="15">
      <c r="A41" s="8"/>
      <c r="B41" s="94" t="s">
        <v>272</v>
      </c>
      <c r="C41" s="118"/>
      <c r="D41" s="118"/>
      <c r="E41" s="118">
        <v>1</v>
      </c>
      <c r="F41" s="118">
        <v>301</v>
      </c>
      <c r="G41" s="118" t="s">
        <v>208</v>
      </c>
      <c r="H41" s="166"/>
      <c r="I41" s="166"/>
      <c r="J41" s="166"/>
      <c r="K41" s="166"/>
      <c r="L41" s="8"/>
      <c r="M41" s="8"/>
      <c r="N41" s="8"/>
      <c r="O41" s="8"/>
    </row>
    <row r="42" spans="1:15" ht="15">
      <c r="A42" s="8"/>
      <c r="B42" s="94" t="s">
        <v>273</v>
      </c>
      <c r="C42" s="118"/>
      <c r="D42" s="118"/>
      <c r="E42" s="118">
        <v>-191</v>
      </c>
      <c r="F42" s="118">
        <v>-52</v>
      </c>
      <c r="G42" s="118">
        <v>-422</v>
      </c>
      <c r="H42" s="166"/>
      <c r="I42" s="166"/>
      <c r="J42" s="166"/>
      <c r="K42" s="166"/>
      <c r="L42" s="8"/>
      <c r="M42" s="8"/>
      <c r="N42" s="8"/>
      <c r="O42" s="8"/>
    </row>
    <row r="43" spans="1:15" ht="15">
      <c r="A43" s="8"/>
      <c r="B43" s="94" t="s">
        <v>274</v>
      </c>
      <c r="C43" s="118"/>
      <c r="D43" s="118"/>
      <c r="E43" s="118">
        <v>-20</v>
      </c>
      <c r="F43" s="118">
        <v>551</v>
      </c>
      <c r="G43" s="118">
        <v>134</v>
      </c>
      <c r="H43" s="166"/>
      <c r="I43" s="166"/>
      <c r="J43" s="166"/>
      <c r="K43" s="166"/>
      <c r="L43" s="8"/>
      <c r="M43" s="8"/>
      <c r="N43" s="8"/>
      <c r="O43" s="8"/>
    </row>
    <row r="44" spans="1:15" ht="15">
      <c r="A44" s="8"/>
      <c r="B44" s="94" t="s">
        <v>275</v>
      </c>
      <c r="C44" s="118"/>
      <c r="D44" s="118"/>
      <c r="E44" s="118">
        <v>-305</v>
      </c>
      <c r="F44" s="118">
        <v>-344</v>
      </c>
      <c r="G44" s="118">
        <v>-203</v>
      </c>
      <c r="H44" s="166"/>
      <c r="I44" s="166"/>
      <c r="J44" s="166"/>
      <c r="K44" s="166"/>
      <c r="L44" s="8"/>
      <c r="M44" s="8"/>
      <c r="N44" s="8"/>
      <c r="O44" s="8"/>
    </row>
    <row r="45" spans="1:15" ht="15">
      <c r="A45" s="8"/>
      <c r="B45" s="94" t="s">
        <v>276</v>
      </c>
      <c r="C45" s="118"/>
      <c r="D45" s="118"/>
      <c r="E45" s="118">
        <v>-761</v>
      </c>
      <c r="F45" s="118">
        <v>-452</v>
      </c>
      <c r="G45" s="118">
        <v>-11934</v>
      </c>
      <c r="H45" s="166"/>
      <c r="I45" s="166"/>
      <c r="J45" s="166"/>
      <c r="K45" s="166"/>
      <c r="L45" s="8"/>
      <c r="M45" s="8"/>
      <c r="N45" s="8"/>
      <c r="O45" s="8"/>
    </row>
    <row r="46" spans="1:15" ht="15">
      <c r="A46" s="8"/>
      <c r="B46" s="94" t="s">
        <v>277</v>
      </c>
      <c r="C46" s="118"/>
      <c r="D46" s="118"/>
      <c r="E46" s="118">
        <v>74</v>
      </c>
      <c r="F46" s="118">
        <v>167</v>
      </c>
      <c r="G46" s="118">
        <v>89</v>
      </c>
      <c r="H46" s="166"/>
      <c r="I46" s="166"/>
      <c r="J46" s="166"/>
      <c r="K46" s="166"/>
      <c r="L46" s="8"/>
      <c r="M46" s="8"/>
      <c r="N46" s="8"/>
      <c r="O46" s="8"/>
    </row>
    <row r="47" spans="1:15" ht="15">
      <c r="A47" s="8"/>
      <c r="B47" s="91" t="s">
        <v>64</v>
      </c>
      <c r="C47" s="120"/>
      <c r="D47" s="120"/>
      <c r="E47" s="120">
        <f>SUM(E33:E46)</f>
        <v>-125</v>
      </c>
      <c r="F47" s="120">
        <f t="shared" ref="F47:L47" si="3">SUM(F33:F46)</f>
        <v>545</v>
      </c>
      <c r="G47" s="120">
        <f t="shared" si="3"/>
        <v>-22192</v>
      </c>
      <c r="H47" s="120">
        <f t="shared" si="3"/>
        <v>-9224.6391000000003</v>
      </c>
      <c r="I47" s="120">
        <f t="shared" si="3"/>
        <v>-11678.977764000001</v>
      </c>
      <c r="J47" s="120">
        <f t="shared" si="3"/>
        <v>-14855.442658920005</v>
      </c>
      <c r="K47" s="120">
        <f t="shared" si="3"/>
        <v>-18978.643672167607</v>
      </c>
      <c r="L47" s="120">
        <f t="shared" si="3"/>
        <v>-24018.33358814368</v>
      </c>
      <c r="M47" s="120">
        <f t="shared" ref="M47:N47" si="4">SUM(M33:M46)</f>
        <v>-27715.933399721482</v>
      </c>
      <c r="N47" s="120">
        <f t="shared" si="4"/>
        <v>-30558.46953733066</v>
      </c>
      <c r="O47" s="120">
        <f t="shared" ref="O47" si="5">SUM(O33:O46)</f>
        <v>-32238.312390173753</v>
      </c>
    </row>
    <row r="48" spans="1:15" ht="15">
      <c r="A48" s="8"/>
      <c r="B48"/>
      <c r="C48" s="64"/>
      <c r="D48" s="64"/>
      <c r="E48" s="64"/>
      <c r="F48" s="119"/>
      <c r="G48" s="119"/>
      <c r="H48" s="119"/>
      <c r="I48" s="119"/>
      <c r="J48" s="119"/>
      <c r="K48" s="119"/>
      <c r="L48" s="8"/>
      <c r="M48" s="8"/>
      <c r="N48" s="8"/>
      <c r="O48" s="8"/>
    </row>
    <row r="49" spans="1:15" ht="15">
      <c r="A49" s="8"/>
      <c r="B49" s="94" t="s">
        <v>82</v>
      </c>
      <c r="C49" s="64"/>
      <c r="D49" s="64"/>
      <c r="E49" s="64"/>
      <c r="F49" s="167"/>
      <c r="G49" s="167"/>
      <c r="H49" s="167">
        <f t="shared" ref="H49:O49" ca="1" si="6">H47+H30</f>
        <v>26056.081134049149</v>
      </c>
      <c r="I49" s="167">
        <f t="shared" ca="1" si="6"/>
        <v>34736.760596141547</v>
      </c>
      <c r="J49" s="167">
        <f t="shared" ca="1" si="6"/>
        <v>46194.705573463682</v>
      </c>
      <c r="K49" s="167">
        <f t="shared" ca="1" si="6"/>
        <v>60635.700349437095</v>
      </c>
      <c r="L49" s="167">
        <f t="shared" ca="1" si="6"/>
        <v>76867.77697602936</v>
      </c>
      <c r="M49" s="167">
        <f t="shared" ca="1" si="6"/>
        <v>86525.695597074635</v>
      </c>
      <c r="N49" s="167">
        <f t="shared" ca="1" si="6"/>
        <v>95904.413296404338</v>
      </c>
      <c r="O49" s="167">
        <f t="shared" ca="1" si="6"/>
        <v>101563.45526969849</v>
      </c>
    </row>
    <row r="50" spans="1:15" ht="15">
      <c r="A50" s="8"/>
      <c r="B50"/>
      <c r="C50" s="64"/>
      <c r="D50" s="64"/>
      <c r="E50" s="64"/>
      <c r="F50" s="168"/>
      <c r="G50" s="166"/>
      <c r="H50" s="166"/>
      <c r="I50" s="166"/>
      <c r="J50" s="166"/>
      <c r="K50" s="166"/>
      <c r="L50" s="8"/>
      <c r="M50" s="8"/>
      <c r="N50" s="8"/>
      <c r="O50" s="8"/>
    </row>
    <row r="51" spans="1:15" ht="15">
      <c r="A51" s="8"/>
      <c r="B51" s="84" t="s">
        <v>65</v>
      </c>
      <c r="C51" s="64"/>
      <c r="D51" s="64"/>
      <c r="E51" s="64"/>
      <c r="F51" s="166"/>
      <c r="G51" s="166"/>
      <c r="H51" s="166"/>
      <c r="I51" s="166"/>
      <c r="J51" s="166"/>
      <c r="K51" s="166"/>
      <c r="L51" s="8"/>
      <c r="M51" s="8"/>
      <c r="N51" s="8"/>
      <c r="O51" s="8"/>
    </row>
    <row r="52" spans="1:15" ht="15">
      <c r="A52" s="8"/>
      <c r="B52" s="94" t="s">
        <v>278</v>
      </c>
      <c r="C52" s="118"/>
      <c r="D52" s="118"/>
      <c r="E52" s="118">
        <v>618</v>
      </c>
      <c r="F52" s="118">
        <v>16792</v>
      </c>
      <c r="G52" s="118">
        <v>1598</v>
      </c>
      <c r="H52" s="382">
        <f>'Shareholders Equity'!H8</f>
        <v>0</v>
      </c>
      <c r="I52" s="166">
        <f>'Shareholders Equity'!I8</f>
        <v>0</v>
      </c>
      <c r="J52" s="166">
        <f>'Shareholders Equity'!J8</f>
        <v>0</v>
      </c>
      <c r="K52" s="166">
        <f>'Shareholders Equity'!K8</f>
        <v>0</v>
      </c>
      <c r="L52" s="166">
        <f>'Shareholders Equity'!L8</f>
        <v>0</v>
      </c>
      <c r="M52" s="166">
        <f>'Shareholders Equity'!M8</f>
        <v>0</v>
      </c>
      <c r="N52" s="166">
        <f>'Shareholders Equity'!N8</f>
        <v>0</v>
      </c>
      <c r="O52" s="166">
        <f>'Shareholders Equity'!O8</f>
        <v>0</v>
      </c>
    </row>
    <row r="53" spans="1:15" ht="15">
      <c r="A53" s="8"/>
      <c r="B53" s="94" t="s">
        <v>279</v>
      </c>
      <c r="C53" s="118"/>
      <c r="D53" s="118"/>
      <c r="E53" s="118">
        <v>-2</v>
      </c>
      <c r="F53" s="118">
        <v>-40111</v>
      </c>
      <c r="G53" s="118">
        <v>-116</v>
      </c>
      <c r="H53" s="382"/>
      <c r="I53" s="166"/>
      <c r="J53" s="166"/>
      <c r="K53" s="166"/>
      <c r="L53" s="8"/>
      <c r="M53" s="8"/>
      <c r="N53" s="8"/>
      <c r="O53" s="8"/>
    </row>
    <row r="54" spans="1:15" ht="15">
      <c r="A54" s="8"/>
      <c r="B54" s="94" t="s">
        <v>280</v>
      </c>
      <c r="C54" s="118"/>
      <c r="D54" s="118"/>
      <c r="E54" s="118" t="s">
        <v>208</v>
      </c>
      <c r="F54" s="118" t="s">
        <v>208</v>
      </c>
      <c r="G54" s="118">
        <v>442</v>
      </c>
      <c r="H54" s="382"/>
      <c r="I54" s="166"/>
      <c r="J54" s="166"/>
      <c r="K54" s="166"/>
      <c r="L54" s="8"/>
      <c r="M54" s="8"/>
      <c r="N54" s="8"/>
      <c r="O54" s="8"/>
    </row>
    <row r="55" spans="1:15" ht="15">
      <c r="A55" s="8"/>
      <c r="B55" s="94" t="s">
        <v>281</v>
      </c>
      <c r="C55" s="118"/>
      <c r="D55" s="118"/>
      <c r="E55" s="118" t="s">
        <v>208</v>
      </c>
      <c r="F55" s="118">
        <v>10542</v>
      </c>
      <c r="G55" s="118" t="s">
        <v>208</v>
      </c>
      <c r="H55" s="382"/>
      <c r="I55" s="166"/>
      <c r="J55" s="166"/>
      <c r="K55" s="166"/>
      <c r="L55" s="8"/>
      <c r="M55" s="8"/>
      <c r="N55" s="8"/>
      <c r="O55" s="8"/>
    </row>
    <row r="56" spans="1:15" ht="15">
      <c r="A56" s="8"/>
      <c r="B56" s="94" t="s">
        <v>282</v>
      </c>
      <c r="C56" s="118"/>
      <c r="D56" s="118"/>
      <c r="E56" s="118" t="s">
        <v>208</v>
      </c>
      <c r="F56" s="118">
        <v>-103</v>
      </c>
      <c r="G56" s="118">
        <v>-104</v>
      </c>
      <c r="H56" s="382"/>
      <c r="I56" s="166"/>
      <c r="J56" s="166"/>
      <c r="K56" s="166"/>
      <c r="L56" s="8"/>
      <c r="M56" s="8"/>
      <c r="N56" s="8"/>
      <c r="O56" s="8"/>
    </row>
    <row r="57" spans="1:15" ht="15">
      <c r="A57" s="8"/>
      <c r="B57" s="94" t="s">
        <v>283</v>
      </c>
      <c r="C57" s="118"/>
      <c r="D57" s="118"/>
      <c r="E57" s="118" t="s">
        <v>208</v>
      </c>
      <c r="F57" s="118" t="s">
        <v>208</v>
      </c>
      <c r="G57" s="118">
        <v>-5131</v>
      </c>
      <c r="H57" s="382"/>
      <c r="I57" s="166"/>
      <c r="J57" s="166"/>
      <c r="K57" s="166"/>
      <c r="L57" s="8"/>
      <c r="M57" s="8"/>
      <c r="N57" s="8"/>
      <c r="O57" s="8"/>
    </row>
    <row r="58" spans="1:15" ht="15">
      <c r="A58" s="8"/>
      <c r="B58" s="94" t="s">
        <v>284</v>
      </c>
      <c r="C58" s="118"/>
      <c r="D58" s="118"/>
      <c r="E58" s="118">
        <v>-419</v>
      </c>
      <c r="F58" s="118" t="s">
        <v>208</v>
      </c>
      <c r="G58" s="118" t="s">
        <v>208</v>
      </c>
      <c r="H58" s="382"/>
      <c r="I58" s="166"/>
      <c r="J58" s="166"/>
      <c r="K58" s="166"/>
      <c r="L58" s="8"/>
      <c r="M58" s="8"/>
      <c r="N58" s="8"/>
      <c r="O58" s="8"/>
    </row>
    <row r="59" spans="1:15" ht="15">
      <c r="A59" s="8"/>
      <c r="B59" s="94" t="s">
        <v>285</v>
      </c>
      <c r="C59" s="118"/>
      <c r="D59" s="118"/>
      <c r="E59" s="118" t="s">
        <v>208</v>
      </c>
      <c r="F59" s="118">
        <v>-15134</v>
      </c>
      <c r="G59" s="118" t="s">
        <v>208</v>
      </c>
      <c r="H59" s="382"/>
      <c r="I59" s="166"/>
      <c r="J59" s="166"/>
      <c r="K59" s="166"/>
      <c r="L59" s="8"/>
      <c r="M59" s="8"/>
      <c r="N59" s="8"/>
      <c r="O59" s="8"/>
    </row>
    <row r="60" spans="1:15" ht="15">
      <c r="A60" s="8"/>
      <c r="B60" s="94" t="s">
        <v>286</v>
      </c>
      <c r="C60" s="118"/>
      <c r="D60" s="118"/>
      <c r="E60" s="118" t="s">
        <v>208</v>
      </c>
      <c r="F60" s="118">
        <v>-335</v>
      </c>
      <c r="G60" s="118">
        <v>-9</v>
      </c>
      <c r="H60" s="382"/>
      <c r="I60" s="166"/>
      <c r="J60" s="166"/>
      <c r="K60" s="166"/>
      <c r="L60" s="8"/>
      <c r="M60" s="8"/>
      <c r="N60" s="8"/>
      <c r="O60" s="8"/>
    </row>
    <row r="61" spans="1:15" ht="15">
      <c r="A61" s="8"/>
      <c r="B61" s="94" t="s">
        <v>287</v>
      </c>
      <c r="C61" s="118"/>
      <c r="D61" s="118"/>
      <c r="E61" s="118">
        <v>-9</v>
      </c>
      <c r="F61" s="118" t="s">
        <v>208</v>
      </c>
      <c r="G61" s="118" t="s">
        <v>208</v>
      </c>
      <c r="H61" s="382"/>
      <c r="I61" s="166"/>
      <c r="J61" s="166"/>
      <c r="K61" s="166"/>
      <c r="L61" s="8"/>
      <c r="M61" s="8"/>
      <c r="N61" s="8"/>
      <c r="O61" s="8"/>
    </row>
    <row r="62" spans="1:15" ht="15">
      <c r="A62" s="8"/>
      <c r="B62" s="94" t="s">
        <v>288</v>
      </c>
      <c r="C62" s="118"/>
      <c r="D62" s="118"/>
      <c r="E62" s="118">
        <v>166</v>
      </c>
      <c r="F62" s="118">
        <v>11</v>
      </c>
      <c r="G62" s="118" t="s">
        <v>208</v>
      </c>
      <c r="H62" s="382"/>
      <c r="I62" s="166"/>
      <c r="J62" s="166"/>
      <c r="K62" s="166"/>
      <c r="L62" s="8"/>
      <c r="M62" s="8"/>
      <c r="N62" s="8"/>
      <c r="O62" s="8"/>
    </row>
    <row r="63" spans="1:15" ht="15">
      <c r="A63" s="8"/>
      <c r="B63" s="94" t="s">
        <v>289</v>
      </c>
      <c r="C63" s="118"/>
      <c r="D63" s="118"/>
      <c r="E63" s="118" t="s">
        <v>208</v>
      </c>
      <c r="F63" s="118">
        <v>2098</v>
      </c>
      <c r="G63" s="118">
        <v>6786</v>
      </c>
      <c r="H63" s="382"/>
      <c r="I63" s="166"/>
      <c r="J63" s="166"/>
      <c r="K63" s="166"/>
      <c r="L63" s="8"/>
      <c r="M63" s="8"/>
      <c r="N63" s="8"/>
      <c r="O63" s="8"/>
    </row>
    <row r="64" spans="1:15" ht="15">
      <c r="A64" s="8"/>
      <c r="B64" s="94" t="s">
        <v>290</v>
      </c>
      <c r="C64" s="118"/>
      <c r="D64" s="118"/>
      <c r="E64" s="118">
        <v>827</v>
      </c>
      <c r="F64" s="118">
        <v>2439</v>
      </c>
      <c r="G64" s="118">
        <v>403</v>
      </c>
      <c r="H64" s="166"/>
      <c r="I64" s="166"/>
      <c r="J64" s="166"/>
      <c r="K64" s="166"/>
      <c r="L64" s="8"/>
      <c r="M64" s="8"/>
      <c r="N64" s="8"/>
      <c r="O64" s="8"/>
    </row>
    <row r="65" spans="1:15" ht="15">
      <c r="A65" s="8"/>
      <c r="B65" s="94" t="s">
        <v>291</v>
      </c>
      <c r="C65" s="118"/>
      <c r="D65" s="118"/>
      <c r="E65" s="118">
        <v>-706</v>
      </c>
      <c r="F65" s="118">
        <v>-2584</v>
      </c>
      <c r="G65" s="118">
        <v>-123</v>
      </c>
      <c r="H65" s="166">
        <f>Debt!H17</f>
        <v>-1200</v>
      </c>
      <c r="I65" s="166">
        <f ca="1">Debt!I17</f>
        <v>0</v>
      </c>
      <c r="J65" s="166">
        <f ca="1">Debt!J17</f>
        <v>0</v>
      </c>
      <c r="K65" s="166">
        <f ca="1">Debt!K17</f>
        <v>0</v>
      </c>
      <c r="L65" s="166">
        <f ca="1">Debt!L17</f>
        <v>0</v>
      </c>
      <c r="M65" s="166">
        <f>Debt!P17</f>
        <v>0</v>
      </c>
      <c r="N65" s="166">
        <f>Debt!Q17</f>
        <v>0</v>
      </c>
      <c r="O65" s="166">
        <f>Debt!R17</f>
        <v>0</v>
      </c>
    </row>
    <row r="66" spans="1:15" ht="15">
      <c r="A66" s="8"/>
      <c r="B66" s="94" t="s">
        <v>292</v>
      </c>
      <c r="C66" s="118"/>
      <c r="D66" s="118"/>
      <c r="E66" s="118" t="s">
        <v>208</v>
      </c>
      <c r="F66" s="118">
        <v>24979</v>
      </c>
      <c r="G66" s="118">
        <v>30088</v>
      </c>
      <c r="H66" s="166"/>
      <c r="I66" s="166"/>
      <c r="J66" s="166"/>
      <c r="K66" s="166"/>
      <c r="L66" s="8"/>
      <c r="M66" s="8"/>
      <c r="N66" s="8"/>
      <c r="O66" s="8"/>
    </row>
    <row r="67" spans="1:15" ht="15">
      <c r="A67" s="8"/>
      <c r="B67" s="94" t="s">
        <v>293</v>
      </c>
      <c r="C67" s="118"/>
      <c r="D67" s="118"/>
      <c r="E67" s="118" t="s">
        <v>208</v>
      </c>
      <c r="F67" s="118" t="s">
        <v>208</v>
      </c>
      <c r="G67" s="118">
        <v>-24788</v>
      </c>
      <c r="H67" s="166">
        <f>Debt!H23</f>
        <v>-8776</v>
      </c>
      <c r="I67" s="166">
        <f>Debt!I23</f>
        <v>-10030</v>
      </c>
      <c r="J67" s="166">
        <f>Debt!J23</f>
        <v>-3800</v>
      </c>
      <c r="K67" s="166">
        <f>Debt!K23</f>
        <v>-479</v>
      </c>
      <c r="L67" s="166">
        <f>Debt!L23</f>
        <v>-479</v>
      </c>
      <c r="M67" s="166">
        <f>Debt!M23</f>
        <v>-479</v>
      </c>
      <c r="N67" s="166">
        <f>Debt!N23</f>
        <v>-479</v>
      </c>
      <c r="O67" s="166">
        <f>Debt!O23</f>
        <v>-479</v>
      </c>
    </row>
    <row r="68" spans="1:15" ht="15">
      <c r="A68" s="8"/>
      <c r="B68" s="91" t="s">
        <v>66</v>
      </c>
      <c r="C68" s="120"/>
      <c r="D68" s="120"/>
      <c r="E68" s="120">
        <f t="shared" ref="E68:L68" si="7">SUM(E52:E67)</f>
        <v>475</v>
      </c>
      <c r="F68" s="120">
        <f t="shared" si="7"/>
        <v>-1406</v>
      </c>
      <c r="G68" s="120">
        <f t="shared" si="7"/>
        <v>9046</v>
      </c>
      <c r="H68" s="120">
        <f t="shared" si="7"/>
        <v>-9976</v>
      </c>
      <c r="I68" s="120">
        <f t="shared" ca="1" si="7"/>
        <v>-10030</v>
      </c>
      <c r="J68" s="120">
        <f t="shared" ca="1" si="7"/>
        <v>-3800</v>
      </c>
      <c r="K68" s="120">
        <f t="shared" ca="1" si="7"/>
        <v>-479</v>
      </c>
      <c r="L68" s="120">
        <f t="shared" ca="1" si="7"/>
        <v>-479</v>
      </c>
      <c r="M68" s="120">
        <f t="shared" ref="M68:N68" si="8">SUM(M52:M67)</f>
        <v>-479</v>
      </c>
      <c r="N68" s="120">
        <f t="shared" si="8"/>
        <v>-479</v>
      </c>
      <c r="O68" s="120">
        <f t="shared" ref="O68" si="9">SUM(O52:O67)</f>
        <v>-479</v>
      </c>
    </row>
    <row r="69" spans="1:15" ht="15">
      <c r="A69" s="8"/>
      <c r="B69" t="s">
        <v>67</v>
      </c>
      <c r="C69" s="118"/>
      <c r="D69" s="118"/>
      <c r="E69" s="118">
        <v>-54</v>
      </c>
      <c r="F69" s="119">
        <v>-76</v>
      </c>
      <c r="G69" s="119">
        <v>-115</v>
      </c>
      <c r="H69" s="119"/>
      <c r="I69" s="119"/>
      <c r="J69" s="119"/>
      <c r="K69" s="119"/>
      <c r="L69" s="8"/>
      <c r="M69" s="8"/>
      <c r="N69" s="8"/>
      <c r="O69" s="8"/>
    </row>
    <row r="70" spans="1:15" ht="15">
      <c r="A70" s="8"/>
      <c r="B70"/>
      <c r="C70" s="64"/>
      <c r="D70" s="64"/>
      <c r="E70" s="64"/>
      <c r="F70" s="119"/>
      <c r="G70" s="119"/>
      <c r="H70" s="119"/>
      <c r="I70" s="119"/>
      <c r="J70" s="119"/>
      <c r="K70" s="119"/>
      <c r="L70" s="8"/>
      <c r="M70" s="8"/>
      <c r="N70" s="8"/>
      <c r="O70" s="8"/>
    </row>
    <row r="71" spans="1:15" ht="15.75" thickBot="1">
      <c r="A71" s="8"/>
      <c r="B71" s="95" t="s">
        <v>68</v>
      </c>
      <c r="C71" s="121"/>
      <c r="D71" s="121"/>
      <c r="E71" s="121">
        <f>E30+E47+E68+E69</f>
        <v>9571</v>
      </c>
      <c r="F71" s="121">
        <f t="shared" ref="F71:L71" si="10">F30+F47+F68+F69</f>
        <v>13539</v>
      </c>
      <c r="G71" s="121">
        <f t="shared" si="10"/>
        <v>18154</v>
      </c>
      <c r="H71" s="121">
        <f t="shared" ca="1" si="10"/>
        <v>16080.081134049149</v>
      </c>
      <c r="I71" s="121">
        <f t="shared" ca="1" si="10"/>
        <v>24706.760596141547</v>
      </c>
      <c r="J71" s="121">
        <f t="shared" ca="1" si="10"/>
        <v>42394.705573463682</v>
      </c>
      <c r="K71" s="121">
        <f t="shared" ca="1" si="10"/>
        <v>60156.700349437095</v>
      </c>
      <c r="L71" s="121">
        <f t="shared" ca="1" si="10"/>
        <v>76388.77697602936</v>
      </c>
      <c r="M71" s="121">
        <f t="shared" ref="M71:N71" ca="1" si="11">M30+M47+M68+M69</f>
        <v>86046.695597074635</v>
      </c>
      <c r="N71" s="121">
        <f t="shared" ca="1" si="11"/>
        <v>95425.413296404338</v>
      </c>
      <c r="O71" s="121">
        <f t="shared" ref="O71" ca="1" si="12">O30+O47+O68+O69</f>
        <v>101084.45526969849</v>
      </c>
    </row>
    <row r="72" spans="1:15" ht="15">
      <c r="A72" s="8"/>
      <c r="B72"/>
      <c r="C72" s="64"/>
      <c r="D72" s="64"/>
      <c r="E72" s="64"/>
      <c r="F72" s="119"/>
      <c r="G72" s="119"/>
      <c r="H72" s="119"/>
      <c r="I72" s="119"/>
      <c r="J72" s="119"/>
      <c r="K72" s="119"/>
      <c r="L72" s="8"/>
      <c r="M72" s="8"/>
      <c r="N72" s="8"/>
      <c r="O72" s="8"/>
    </row>
    <row r="73" spans="1:15" ht="15">
      <c r="A73" s="8"/>
      <c r="B73" s="92" t="s">
        <v>69</v>
      </c>
      <c r="C73" s="122"/>
      <c r="D73" s="122"/>
      <c r="E73" s="123">
        <v>7286</v>
      </c>
      <c r="F73" s="123">
        <v>16857</v>
      </c>
      <c r="G73" s="123">
        <v>30396</v>
      </c>
      <c r="H73" s="123">
        <f t="shared" ref="H73:O73" si="13">G74</f>
        <v>48550</v>
      </c>
      <c r="I73" s="123">
        <f t="shared" ca="1" si="13"/>
        <v>64630.081134049149</v>
      </c>
      <c r="J73" s="123">
        <f t="shared" ca="1" si="13"/>
        <v>89336.841730190703</v>
      </c>
      <c r="K73" s="123">
        <f t="shared" ca="1" si="13"/>
        <v>131731.54730365437</v>
      </c>
      <c r="L73" s="123">
        <f t="shared" ca="1" si="13"/>
        <v>191888.24765309147</v>
      </c>
      <c r="M73" s="123">
        <f t="shared" ca="1" si="13"/>
        <v>268277.02462912083</v>
      </c>
      <c r="N73" s="123">
        <f t="shared" ca="1" si="13"/>
        <v>354323.72022619547</v>
      </c>
      <c r="O73" s="123">
        <f t="shared" ca="1" si="13"/>
        <v>449749.13352259982</v>
      </c>
    </row>
    <row r="74" spans="1:15" ht="15">
      <c r="A74" s="8"/>
      <c r="B74" s="93" t="s">
        <v>70</v>
      </c>
      <c r="C74" s="124"/>
      <c r="D74" s="124"/>
      <c r="E74" s="124">
        <f t="shared" ref="E74:L74" si="14">E73+E71</f>
        <v>16857</v>
      </c>
      <c r="F74" s="124">
        <f t="shared" si="14"/>
        <v>30396</v>
      </c>
      <c r="G74" s="124">
        <f t="shared" si="14"/>
        <v>48550</v>
      </c>
      <c r="H74" s="124">
        <f t="shared" ca="1" si="14"/>
        <v>64630.081134049149</v>
      </c>
      <c r="I74" s="124">
        <f t="shared" ca="1" si="14"/>
        <v>89336.841730190703</v>
      </c>
      <c r="J74" s="124">
        <f t="shared" ca="1" si="14"/>
        <v>131731.54730365437</v>
      </c>
      <c r="K74" s="124">
        <f t="shared" ca="1" si="14"/>
        <v>191888.24765309147</v>
      </c>
      <c r="L74" s="124">
        <f t="shared" ca="1" si="14"/>
        <v>268277.02462912083</v>
      </c>
      <c r="M74" s="124">
        <f t="shared" ref="M74:N74" ca="1" si="15">M73+M71</f>
        <v>354323.72022619547</v>
      </c>
      <c r="N74" s="124">
        <f t="shared" ca="1" si="15"/>
        <v>449749.13352259982</v>
      </c>
      <c r="O74" s="124">
        <f t="shared" ref="O74" ca="1" si="16">O73+O71</f>
        <v>550833.58879229834</v>
      </c>
    </row>
    <row r="75" spans="1:15">
      <c r="A75" s="8"/>
      <c r="B75" s="8"/>
      <c r="C75" s="125"/>
      <c r="D75" s="119"/>
      <c r="E75" s="119"/>
      <c r="F75" s="119"/>
      <c r="G75" s="119"/>
      <c r="H75" s="119"/>
      <c r="I75" s="119"/>
      <c r="J75" s="119"/>
      <c r="K75" s="119"/>
      <c r="L75" s="8"/>
      <c r="M75" s="8"/>
      <c r="N75" s="8"/>
      <c r="O75" s="8"/>
    </row>
    <row r="76" spans="1:15">
      <c r="A76" s="8"/>
      <c r="B76" s="8"/>
      <c r="C76" s="125"/>
      <c r="D76" s="119"/>
      <c r="E76" s="119"/>
      <c r="F76" s="119"/>
      <c r="G76" s="119"/>
      <c r="H76" s="383" t="s">
        <v>321</v>
      </c>
      <c r="I76" s="119"/>
      <c r="J76" s="119"/>
      <c r="K76" s="119"/>
      <c r="L76" s="8"/>
      <c r="M76" s="8"/>
      <c r="N76" s="8"/>
      <c r="O76" s="8"/>
    </row>
    <row r="77" spans="1:15">
      <c r="C77" s="270"/>
      <c r="D77" s="271"/>
      <c r="E77" s="271"/>
      <c r="F77" s="271"/>
      <c r="G77" s="271"/>
      <c r="H77" s="271"/>
      <c r="I77" s="271"/>
      <c r="J77" s="271"/>
      <c r="K77" s="271"/>
    </row>
    <row r="78" spans="1:15">
      <c r="C78" s="270"/>
      <c r="D78" s="271"/>
      <c r="E78" s="271"/>
      <c r="F78" s="271"/>
      <c r="G78" s="271"/>
      <c r="H78" s="271"/>
      <c r="I78" s="271"/>
      <c r="J78" s="271"/>
      <c r="K78" s="271"/>
    </row>
    <row r="79" spans="1:15">
      <c r="C79" s="270"/>
      <c r="D79" s="271"/>
      <c r="E79" s="271"/>
      <c r="F79" s="271"/>
      <c r="G79" s="271"/>
      <c r="H79" s="271"/>
      <c r="I79" s="271"/>
      <c r="J79" s="271"/>
      <c r="K79" s="271"/>
    </row>
    <row r="80" spans="1:15">
      <c r="C80" s="270"/>
      <c r="D80" s="271"/>
      <c r="E80" s="271"/>
      <c r="F80" s="271"/>
      <c r="G80" s="271"/>
      <c r="H80" s="271"/>
      <c r="I80" s="271"/>
      <c r="J80" s="271"/>
      <c r="K80" s="271"/>
    </row>
    <row r="81" spans="3:11">
      <c r="C81" s="270"/>
      <c r="D81" s="271"/>
      <c r="E81" s="271"/>
      <c r="F81" s="271"/>
      <c r="G81" s="271"/>
      <c r="H81" s="271"/>
      <c r="I81" s="271"/>
      <c r="J81" s="271"/>
      <c r="K81" s="271"/>
    </row>
    <row r="82" spans="3:11">
      <c r="C82" s="270"/>
      <c r="D82" s="271"/>
      <c r="E82" s="271"/>
      <c r="F82" s="271"/>
      <c r="G82" s="271"/>
      <c r="H82" s="271"/>
      <c r="I82" s="271"/>
      <c r="J82" s="271"/>
      <c r="K82" s="271"/>
    </row>
    <row r="83" spans="3:11">
      <c r="C83" s="270"/>
      <c r="D83" s="271"/>
      <c r="E83" s="271"/>
      <c r="F83" s="271"/>
      <c r="G83" s="271"/>
      <c r="H83" s="271"/>
      <c r="I83" s="271"/>
      <c r="J83" s="271"/>
      <c r="K83" s="271"/>
    </row>
    <row r="84" spans="3:11">
      <c r="C84" s="270"/>
      <c r="D84" s="271"/>
      <c r="E84" s="271"/>
      <c r="F84" s="271"/>
      <c r="G84" s="271"/>
      <c r="H84" s="271"/>
      <c r="I84" s="271"/>
      <c r="J84" s="271"/>
      <c r="K84" s="271"/>
    </row>
    <row r="85" spans="3:11">
      <c r="C85" s="270"/>
      <c r="D85" s="271"/>
      <c r="E85" s="271"/>
      <c r="F85" s="271"/>
      <c r="G85" s="271"/>
      <c r="H85" s="271"/>
      <c r="I85" s="271"/>
      <c r="J85" s="271"/>
      <c r="K85" s="271"/>
    </row>
    <row r="86" spans="3:11">
      <c r="C86" s="270"/>
      <c r="D86" s="271"/>
      <c r="E86" s="271"/>
      <c r="F86" s="271"/>
      <c r="G86" s="271"/>
      <c r="H86" s="271"/>
      <c r="I86" s="271"/>
      <c r="J86" s="271"/>
      <c r="K86" s="271"/>
    </row>
    <row r="87" spans="3:11">
      <c r="C87" s="270"/>
      <c r="D87" s="271"/>
      <c r="E87" s="271"/>
      <c r="F87" s="271"/>
      <c r="G87" s="271"/>
      <c r="H87" s="271"/>
      <c r="I87" s="271"/>
      <c r="J87" s="271"/>
      <c r="K87" s="271"/>
    </row>
    <row r="88" spans="3:11">
      <c r="C88" s="270"/>
      <c r="D88" s="271"/>
      <c r="E88" s="271"/>
      <c r="F88" s="271"/>
      <c r="G88" s="271"/>
      <c r="H88" s="271"/>
      <c r="I88" s="271"/>
      <c r="J88" s="271"/>
      <c r="K88" s="271"/>
    </row>
    <row r="89" spans="3:11">
      <c r="C89" s="270"/>
      <c r="D89" s="271"/>
      <c r="E89" s="271"/>
      <c r="F89" s="271"/>
      <c r="G89" s="271"/>
      <c r="H89" s="271"/>
      <c r="I89" s="271"/>
      <c r="J89" s="271"/>
      <c r="K89" s="271"/>
    </row>
    <row r="90" spans="3:11">
      <c r="C90" s="270"/>
      <c r="D90" s="271"/>
      <c r="E90" s="271"/>
      <c r="F90" s="271"/>
      <c r="G90" s="271"/>
      <c r="H90" s="271"/>
      <c r="I90" s="271"/>
      <c r="J90" s="271"/>
      <c r="K90" s="271"/>
    </row>
    <row r="91" spans="3:11">
      <c r="C91" s="270"/>
      <c r="D91" s="271"/>
      <c r="E91" s="271"/>
      <c r="F91" s="271"/>
      <c r="G91" s="271"/>
      <c r="H91" s="271"/>
      <c r="I91" s="271"/>
      <c r="J91" s="271"/>
      <c r="K91" s="271"/>
    </row>
    <row r="92" spans="3:11">
      <c r="C92" s="270"/>
      <c r="D92" s="271"/>
      <c r="E92" s="271"/>
      <c r="F92" s="271"/>
      <c r="G92" s="271"/>
      <c r="H92" s="271"/>
      <c r="I92" s="271"/>
      <c r="J92" s="271"/>
      <c r="K92" s="271"/>
    </row>
    <row r="93" spans="3:11">
      <c r="C93" s="270"/>
      <c r="D93" s="271"/>
      <c r="E93" s="271"/>
      <c r="F93" s="271"/>
      <c r="G93" s="271"/>
      <c r="H93" s="271"/>
      <c r="I93" s="271"/>
      <c r="J93" s="271"/>
      <c r="K93" s="271"/>
    </row>
    <row r="94" spans="3:11">
      <c r="C94" s="270"/>
      <c r="D94" s="271"/>
      <c r="E94" s="271"/>
      <c r="F94" s="271"/>
      <c r="G94" s="271"/>
      <c r="H94" s="271"/>
      <c r="I94" s="271"/>
      <c r="J94" s="271"/>
      <c r="K94" s="271"/>
    </row>
    <row r="95" spans="3:11">
      <c r="C95" s="270"/>
      <c r="D95" s="271"/>
      <c r="E95" s="271"/>
      <c r="F95" s="271"/>
      <c r="G95" s="271"/>
      <c r="H95" s="271"/>
      <c r="I95" s="271"/>
      <c r="J95" s="271"/>
      <c r="K95" s="271"/>
    </row>
    <row r="96" spans="3:11">
      <c r="C96" s="270"/>
      <c r="D96" s="271"/>
      <c r="E96" s="271"/>
      <c r="F96" s="271"/>
      <c r="G96" s="271"/>
      <c r="H96" s="271"/>
      <c r="I96" s="271"/>
      <c r="J96" s="271"/>
      <c r="K96" s="271"/>
    </row>
  </sheetData>
  <mergeCells count="2">
    <mergeCell ref="C3:G3"/>
    <mergeCell ref="H3:O3"/>
  </mergeCells>
  <pageMargins left="0.75" right="0.75" top="1" bottom="1" header="0.5" footer="0.5"/>
  <pageSetup scale="91" orientation="portrait" r:id="rId1"/>
  <headerFooter alignWithMargins="0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FF00"/>
  </sheetPr>
  <dimension ref="A1:S52"/>
  <sheetViews>
    <sheetView showGridLines="0" zoomScale="85" zoomScaleNormal="85" workbookViewId="0"/>
  </sheetViews>
  <sheetFormatPr defaultRowHeight="15"/>
  <cols>
    <col min="1" max="1" width="2.5703125" style="262" customWidth="1"/>
    <col min="2" max="2" width="48.140625" style="262" bestFit="1" customWidth="1"/>
    <col min="3" max="4" width="10.5703125" style="262" bestFit="1" customWidth="1"/>
    <col min="5" max="5" width="11" style="262" bestFit="1" customWidth="1"/>
    <col min="6" max="7" width="11.7109375" style="262" bestFit="1" customWidth="1"/>
    <col min="8" max="8" width="12.140625" style="262" bestFit="1" customWidth="1"/>
    <col min="9" max="15" width="13.140625" style="262" bestFit="1" customWidth="1"/>
    <col min="16" max="256" width="9.140625" style="262"/>
    <col min="257" max="257" width="48.140625" style="262" bestFit="1" customWidth="1"/>
    <col min="258" max="268" width="9.140625" style="262"/>
    <col min="269" max="269" width="26.28515625" style="262" bestFit="1" customWidth="1"/>
    <col min="270" max="512" width="9.140625" style="262"/>
    <col min="513" max="513" width="48.140625" style="262" bestFit="1" customWidth="1"/>
    <col min="514" max="524" width="9.140625" style="262"/>
    <col min="525" max="525" width="26.28515625" style="262" bestFit="1" customWidth="1"/>
    <col min="526" max="768" width="9.140625" style="262"/>
    <col min="769" max="769" width="48.140625" style="262" bestFit="1" customWidth="1"/>
    <col min="770" max="780" width="9.140625" style="262"/>
    <col min="781" max="781" width="26.28515625" style="262" bestFit="1" customWidth="1"/>
    <col min="782" max="1024" width="9.140625" style="262"/>
    <col min="1025" max="1025" width="48.140625" style="262" bestFit="1" customWidth="1"/>
    <col min="1026" max="1036" width="9.140625" style="262"/>
    <col min="1037" max="1037" width="26.28515625" style="262" bestFit="1" customWidth="1"/>
    <col min="1038" max="1280" width="9.140625" style="262"/>
    <col min="1281" max="1281" width="48.140625" style="262" bestFit="1" customWidth="1"/>
    <col min="1282" max="1292" width="9.140625" style="262"/>
    <col min="1293" max="1293" width="26.28515625" style="262" bestFit="1" customWidth="1"/>
    <col min="1294" max="1536" width="9.140625" style="262"/>
    <col min="1537" max="1537" width="48.140625" style="262" bestFit="1" customWidth="1"/>
    <col min="1538" max="1548" width="9.140625" style="262"/>
    <col min="1549" max="1549" width="26.28515625" style="262" bestFit="1" customWidth="1"/>
    <col min="1550" max="1792" width="9.140625" style="262"/>
    <col min="1793" max="1793" width="48.140625" style="262" bestFit="1" customWidth="1"/>
    <col min="1794" max="1804" width="9.140625" style="262"/>
    <col min="1805" max="1805" width="26.28515625" style="262" bestFit="1" customWidth="1"/>
    <col min="1806" max="2048" width="9.140625" style="262"/>
    <col min="2049" max="2049" width="48.140625" style="262" bestFit="1" customWidth="1"/>
    <col min="2050" max="2060" width="9.140625" style="262"/>
    <col min="2061" max="2061" width="26.28515625" style="262" bestFit="1" customWidth="1"/>
    <col min="2062" max="2304" width="9.140625" style="262"/>
    <col min="2305" max="2305" width="48.140625" style="262" bestFit="1" customWidth="1"/>
    <col min="2306" max="2316" width="9.140625" style="262"/>
    <col min="2317" max="2317" width="26.28515625" style="262" bestFit="1" customWidth="1"/>
    <col min="2318" max="2560" width="9.140625" style="262"/>
    <col min="2561" max="2561" width="48.140625" style="262" bestFit="1" customWidth="1"/>
    <col min="2562" max="2572" width="9.140625" style="262"/>
    <col min="2573" max="2573" width="26.28515625" style="262" bestFit="1" customWidth="1"/>
    <col min="2574" max="2816" width="9.140625" style="262"/>
    <col min="2817" max="2817" width="48.140625" style="262" bestFit="1" customWidth="1"/>
    <col min="2818" max="2828" width="9.140625" style="262"/>
    <col min="2829" max="2829" width="26.28515625" style="262" bestFit="1" customWidth="1"/>
    <col min="2830" max="3072" width="9.140625" style="262"/>
    <col min="3073" max="3073" width="48.140625" style="262" bestFit="1" customWidth="1"/>
    <col min="3074" max="3084" width="9.140625" style="262"/>
    <col min="3085" max="3085" width="26.28515625" style="262" bestFit="1" customWidth="1"/>
    <col min="3086" max="3328" width="9.140625" style="262"/>
    <col min="3329" max="3329" width="48.140625" style="262" bestFit="1" customWidth="1"/>
    <col min="3330" max="3340" width="9.140625" style="262"/>
    <col min="3341" max="3341" width="26.28515625" style="262" bestFit="1" customWidth="1"/>
    <col min="3342" max="3584" width="9.140625" style="262"/>
    <col min="3585" max="3585" width="48.140625" style="262" bestFit="1" customWidth="1"/>
    <col min="3586" max="3596" width="9.140625" style="262"/>
    <col min="3597" max="3597" width="26.28515625" style="262" bestFit="1" customWidth="1"/>
    <col min="3598" max="3840" width="9.140625" style="262"/>
    <col min="3841" max="3841" width="48.140625" style="262" bestFit="1" customWidth="1"/>
    <col min="3842" max="3852" width="9.140625" style="262"/>
    <col min="3853" max="3853" width="26.28515625" style="262" bestFit="1" customWidth="1"/>
    <col min="3854" max="4096" width="9.140625" style="262"/>
    <col min="4097" max="4097" width="48.140625" style="262" bestFit="1" customWidth="1"/>
    <col min="4098" max="4108" width="9.140625" style="262"/>
    <col min="4109" max="4109" width="26.28515625" style="262" bestFit="1" customWidth="1"/>
    <col min="4110" max="4352" width="9.140625" style="262"/>
    <col min="4353" max="4353" width="48.140625" style="262" bestFit="1" customWidth="1"/>
    <col min="4354" max="4364" width="9.140625" style="262"/>
    <col min="4365" max="4365" width="26.28515625" style="262" bestFit="1" customWidth="1"/>
    <col min="4366" max="4608" width="9.140625" style="262"/>
    <col min="4609" max="4609" width="48.140625" style="262" bestFit="1" customWidth="1"/>
    <col min="4610" max="4620" width="9.140625" style="262"/>
    <col min="4621" max="4621" width="26.28515625" style="262" bestFit="1" customWidth="1"/>
    <col min="4622" max="4864" width="9.140625" style="262"/>
    <col min="4865" max="4865" width="48.140625" style="262" bestFit="1" customWidth="1"/>
    <col min="4866" max="4876" width="9.140625" style="262"/>
    <col min="4877" max="4877" width="26.28515625" style="262" bestFit="1" customWidth="1"/>
    <col min="4878" max="5120" width="9.140625" style="262"/>
    <col min="5121" max="5121" width="48.140625" style="262" bestFit="1" customWidth="1"/>
    <col min="5122" max="5132" width="9.140625" style="262"/>
    <col min="5133" max="5133" width="26.28515625" style="262" bestFit="1" customWidth="1"/>
    <col min="5134" max="5376" width="9.140625" style="262"/>
    <col min="5377" max="5377" width="48.140625" style="262" bestFit="1" customWidth="1"/>
    <col min="5378" max="5388" width="9.140625" style="262"/>
    <col min="5389" max="5389" width="26.28515625" style="262" bestFit="1" customWidth="1"/>
    <col min="5390" max="5632" width="9.140625" style="262"/>
    <col min="5633" max="5633" width="48.140625" style="262" bestFit="1" customWidth="1"/>
    <col min="5634" max="5644" width="9.140625" style="262"/>
    <col min="5645" max="5645" width="26.28515625" style="262" bestFit="1" customWidth="1"/>
    <col min="5646" max="5888" width="9.140625" style="262"/>
    <col min="5889" max="5889" width="48.140625" style="262" bestFit="1" customWidth="1"/>
    <col min="5890" max="5900" width="9.140625" style="262"/>
    <col min="5901" max="5901" width="26.28515625" style="262" bestFit="1" customWidth="1"/>
    <col min="5902" max="6144" width="9.140625" style="262"/>
    <col min="6145" max="6145" width="48.140625" style="262" bestFit="1" customWidth="1"/>
    <col min="6146" max="6156" width="9.140625" style="262"/>
    <col min="6157" max="6157" width="26.28515625" style="262" bestFit="1" customWidth="1"/>
    <col min="6158" max="6400" width="9.140625" style="262"/>
    <col min="6401" max="6401" width="48.140625" style="262" bestFit="1" customWidth="1"/>
    <col min="6402" max="6412" width="9.140625" style="262"/>
    <col min="6413" max="6413" width="26.28515625" style="262" bestFit="1" customWidth="1"/>
    <col min="6414" max="6656" width="9.140625" style="262"/>
    <col min="6657" max="6657" width="48.140625" style="262" bestFit="1" customWidth="1"/>
    <col min="6658" max="6668" width="9.140625" style="262"/>
    <col min="6669" max="6669" width="26.28515625" style="262" bestFit="1" customWidth="1"/>
    <col min="6670" max="6912" width="9.140625" style="262"/>
    <col min="6913" max="6913" width="48.140625" style="262" bestFit="1" customWidth="1"/>
    <col min="6914" max="6924" width="9.140625" style="262"/>
    <col min="6925" max="6925" width="26.28515625" style="262" bestFit="1" customWidth="1"/>
    <col min="6926" max="7168" width="9.140625" style="262"/>
    <col min="7169" max="7169" width="48.140625" style="262" bestFit="1" customWidth="1"/>
    <col min="7170" max="7180" width="9.140625" style="262"/>
    <col min="7181" max="7181" width="26.28515625" style="262" bestFit="1" customWidth="1"/>
    <col min="7182" max="7424" width="9.140625" style="262"/>
    <col min="7425" max="7425" width="48.140625" style="262" bestFit="1" customWidth="1"/>
    <col min="7426" max="7436" width="9.140625" style="262"/>
    <col min="7437" max="7437" width="26.28515625" style="262" bestFit="1" customWidth="1"/>
    <col min="7438" max="7680" width="9.140625" style="262"/>
    <col min="7681" max="7681" width="48.140625" style="262" bestFit="1" customWidth="1"/>
    <col min="7682" max="7692" width="9.140625" style="262"/>
    <col min="7693" max="7693" width="26.28515625" style="262" bestFit="1" customWidth="1"/>
    <col min="7694" max="7936" width="9.140625" style="262"/>
    <col min="7937" max="7937" width="48.140625" style="262" bestFit="1" customWidth="1"/>
    <col min="7938" max="7948" width="9.140625" style="262"/>
    <col min="7949" max="7949" width="26.28515625" style="262" bestFit="1" customWidth="1"/>
    <col min="7950" max="8192" width="9.140625" style="262"/>
    <col min="8193" max="8193" width="48.140625" style="262" bestFit="1" customWidth="1"/>
    <col min="8194" max="8204" width="9.140625" style="262"/>
    <col min="8205" max="8205" width="26.28515625" style="262" bestFit="1" customWidth="1"/>
    <col min="8206" max="8448" width="9.140625" style="262"/>
    <col min="8449" max="8449" width="48.140625" style="262" bestFit="1" customWidth="1"/>
    <col min="8450" max="8460" width="9.140625" style="262"/>
    <col min="8461" max="8461" width="26.28515625" style="262" bestFit="1" customWidth="1"/>
    <col min="8462" max="8704" width="9.140625" style="262"/>
    <col min="8705" max="8705" width="48.140625" style="262" bestFit="1" customWidth="1"/>
    <col min="8706" max="8716" width="9.140625" style="262"/>
    <col min="8717" max="8717" width="26.28515625" style="262" bestFit="1" customWidth="1"/>
    <col min="8718" max="8960" width="9.140625" style="262"/>
    <col min="8961" max="8961" width="48.140625" style="262" bestFit="1" customWidth="1"/>
    <col min="8962" max="8972" width="9.140625" style="262"/>
    <col min="8973" max="8973" width="26.28515625" style="262" bestFit="1" customWidth="1"/>
    <col min="8974" max="9216" width="9.140625" style="262"/>
    <col min="9217" max="9217" width="48.140625" style="262" bestFit="1" customWidth="1"/>
    <col min="9218" max="9228" width="9.140625" style="262"/>
    <col min="9229" max="9229" width="26.28515625" style="262" bestFit="1" customWidth="1"/>
    <col min="9230" max="9472" width="9.140625" style="262"/>
    <col min="9473" max="9473" width="48.140625" style="262" bestFit="1" customWidth="1"/>
    <col min="9474" max="9484" width="9.140625" style="262"/>
    <col min="9485" max="9485" width="26.28515625" style="262" bestFit="1" customWidth="1"/>
    <col min="9486" max="9728" width="9.140625" style="262"/>
    <col min="9729" max="9729" width="48.140625" style="262" bestFit="1" customWidth="1"/>
    <col min="9730" max="9740" width="9.140625" style="262"/>
    <col min="9741" max="9741" width="26.28515625" style="262" bestFit="1" customWidth="1"/>
    <col min="9742" max="9984" width="9.140625" style="262"/>
    <col min="9985" max="9985" width="48.140625" style="262" bestFit="1" customWidth="1"/>
    <col min="9986" max="9996" width="9.140625" style="262"/>
    <col min="9997" max="9997" width="26.28515625" style="262" bestFit="1" customWidth="1"/>
    <col min="9998" max="10240" width="9.140625" style="262"/>
    <col min="10241" max="10241" width="48.140625" style="262" bestFit="1" customWidth="1"/>
    <col min="10242" max="10252" width="9.140625" style="262"/>
    <col min="10253" max="10253" width="26.28515625" style="262" bestFit="1" customWidth="1"/>
    <col min="10254" max="10496" width="9.140625" style="262"/>
    <col min="10497" max="10497" width="48.140625" style="262" bestFit="1" customWidth="1"/>
    <col min="10498" max="10508" width="9.140625" style="262"/>
    <col min="10509" max="10509" width="26.28515625" style="262" bestFit="1" customWidth="1"/>
    <col min="10510" max="10752" width="9.140625" style="262"/>
    <col min="10753" max="10753" width="48.140625" style="262" bestFit="1" customWidth="1"/>
    <col min="10754" max="10764" width="9.140625" style="262"/>
    <col min="10765" max="10765" width="26.28515625" style="262" bestFit="1" customWidth="1"/>
    <col min="10766" max="11008" width="9.140625" style="262"/>
    <col min="11009" max="11009" width="48.140625" style="262" bestFit="1" customWidth="1"/>
    <col min="11010" max="11020" width="9.140625" style="262"/>
    <col min="11021" max="11021" width="26.28515625" style="262" bestFit="1" customWidth="1"/>
    <col min="11022" max="11264" width="9.140625" style="262"/>
    <col min="11265" max="11265" width="48.140625" style="262" bestFit="1" customWidth="1"/>
    <col min="11266" max="11276" width="9.140625" style="262"/>
    <col min="11277" max="11277" width="26.28515625" style="262" bestFit="1" customWidth="1"/>
    <col min="11278" max="11520" width="9.140625" style="262"/>
    <col min="11521" max="11521" width="48.140625" style="262" bestFit="1" customWidth="1"/>
    <col min="11522" max="11532" width="9.140625" style="262"/>
    <col min="11533" max="11533" width="26.28515625" style="262" bestFit="1" customWidth="1"/>
    <col min="11534" max="11776" width="9.140625" style="262"/>
    <col min="11777" max="11777" width="48.140625" style="262" bestFit="1" customWidth="1"/>
    <col min="11778" max="11788" width="9.140625" style="262"/>
    <col min="11789" max="11789" width="26.28515625" style="262" bestFit="1" customWidth="1"/>
    <col min="11790" max="12032" width="9.140625" style="262"/>
    <col min="12033" max="12033" width="48.140625" style="262" bestFit="1" customWidth="1"/>
    <col min="12034" max="12044" width="9.140625" style="262"/>
    <col min="12045" max="12045" width="26.28515625" style="262" bestFit="1" customWidth="1"/>
    <col min="12046" max="12288" width="9.140625" style="262"/>
    <col min="12289" max="12289" width="48.140625" style="262" bestFit="1" customWidth="1"/>
    <col min="12290" max="12300" width="9.140625" style="262"/>
    <col min="12301" max="12301" width="26.28515625" style="262" bestFit="1" customWidth="1"/>
    <col min="12302" max="12544" width="9.140625" style="262"/>
    <col min="12545" max="12545" width="48.140625" style="262" bestFit="1" customWidth="1"/>
    <col min="12546" max="12556" width="9.140625" style="262"/>
    <col min="12557" max="12557" width="26.28515625" style="262" bestFit="1" customWidth="1"/>
    <col min="12558" max="12800" width="9.140625" style="262"/>
    <col min="12801" max="12801" width="48.140625" style="262" bestFit="1" customWidth="1"/>
    <col min="12802" max="12812" width="9.140625" style="262"/>
    <col min="12813" max="12813" width="26.28515625" style="262" bestFit="1" customWidth="1"/>
    <col min="12814" max="13056" width="9.140625" style="262"/>
    <col min="13057" max="13057" width="48.140625" style="262" bestFit="1" customWidth="1"/>
    <col min="13058" max="13068" width="9.140625" style="262"/>
    <col min="13069" max="13069" width="26.28515625" style="262" bestFit="1" customWidth="1"/>
    <col min="13070" max="13312" width="9.140625" style="262"/>
    <col min="13313" max="13313" width="48.140625" style="262" bestFit="1" customWidth="1"/>
    <col min="13314" max="13324" width="9.140625" style="262"/>
    <col min="13325" max="13325" width="26.28515625" style="262" bestFit="1" customWidth="1"/>
    <col min="13326" max="13568" width="9.140625" style="262"/>
    <col min="13569" max="13569" width="48.140625" style="262" bestFit="1" customWidth="1"/>
    <col min="13570" max="13580" width="9.140625" style="262"/>
    <col min="13581" max="13581" width="26.28515625" style="262" bestFit="1" customWidth="1"/>
    <col min="13582" max="13824" width="9.140625" style="262"/>
    <col min="13825" max="13825" width="48.140625" style="262" bestFit="1" customWidth="1"/>
    <col min="13826" max="13836" width="9.140625" style="262"/>
    <col min="13837" max="13837" width="26.28515625" style="262" bestFit="1" customWidth="1"/>
    <col min="13838" max="14080" width="9.140625" style="262"/>
    <col min="14081" max="14081" width="48.140625" style="262" bestFit="1" customWidth="1"/>
    <col min="14082" max="14092" width="9.140625" style="262"/>
    <col min="14093" max="14093" width="26.28515625" style="262" bestFit="1" customWidth="1"/>
    <col min="14094" max="14336" width="9.140625" style="262"/>
    <col min="14337" max="14337" width="48.140625" style="262" bestFit="1" customWidth="1"/>
    <col min="14338" max="14348" width="9.140625" style="262"/>
    <col min="14349" max="14349" width="26.28515625" style="262" bestFit="1" customWidth="1"/>
    <col min="14350" max="14592" width="9.140625" style="262"/>
    <col min="14593" max="14593" width="48.140625" style="262" bestFit="1" customWidth="1"/>
    <col min="14594" max="14604" width="9.140625" style="262"/>
    <col min="14605" max="14605" width="26.28515625" style="262" bestFit="1" customWidth="1"/>
    <col min="14606" max="14848" width="9.140625" style="262"/>
    <col min="14849" max="14849" width="48.140625" style="262" bestFit="1" customWidth="1"/>
    <col min="14850" max="14860" width="9.140625" style="262"/>
    <col min="14861" max="14861" width="26.28515625" style="262" bestFit="1" customWidth="1"/>
    <col min="14862" max="15104" width="9.140625" style="262"/>
    <col min="15105" max="15105" width="48.140625" style="262" bestFit="1" customWidth="1"/>
    <col min="15106" max="15116" width="9.140625" style="262"/>
    <col min="15117" max="15117" width="26.28515625" style="262" bestFit="1" customWidth="1"/>
    <col min="15118" max="15360" width="9.140625" style="262"/>
    <col min="15361" max="15361" width="48.140625" style="262" bestFit="1" customWidth="1"/>
    <col min="15362" max="15372" width="9.140625" style="262"/>
    <col min="15373" max="15373" width="26.28515625" style="262" bestFit="1" customWidth="1"/>
    <col min="15374" max="15616" width="9.140625" style="262"/>
    <col min="15617" max="15617" width="48.140625" style="262" bestFit="1" customWidth="1"/>
    <col min="15618" max="15628" width="9.140625" style="262"/>
    <col min="15629" max="15629" width="26.28515625" style="262" bestFit="1" customWidth="1"/>
    <col min="15630" max="15872" width="9.140625" style="262"/>
    <col min="15873" max="15873" width="48.140625" style="262" bestFit="1" customWidth="1"/>
    <col min="15874" max="15884" width="9.140625" style="262"/>
    <col min="15885" max="15885" width="26.28515625" style="262" bestFit="1" customWidth="1"/>
    <col min="15886" max="16128" width="9.140625" style="262"/>
    <col min="16129" max="16129" width="48.140625" style="262" bestFit="1" customWidth="1"/>
    <col min="16130" max="16140" width="9.140625" style="262"/>
    <col min="16141" max="16141" width="26.28515625" style="262" bestFit="1" customWidth="1"/>
    <col min="16142" max="16384" width="9.140625" style="262"/>
  </cols>
  <sheetData>
    <row r="1" spans="1:19" s="258" customFormat="1" ht="32.25">
      <c r="A1" s="261" t="str">
        <f>Index!A1</f>
        <v>Alibaba IPO</v>
      </c>
      <c r="B1" s="257"/>
      <c r="C1" s="257"/>
      <c r="D1" s="257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  <c r="P1" s="257"/>
    </row>
    <row r="2" spans="1:19" s="258" customFormat="1" ht="23.25">
      <c r="A2" s="260" t="s">
        <v>80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</row>
    <row r="3" spans="1:19" s="266" customFormat="1" ht="20.25">
      <c r="A3" s="1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9" s="266" customFormat="1" ht="19.5">
      <c r="A4" s="3"/>
      <c r="B4" s="403"/>
      <c r="C4" s="422" t="s">
        <v>101</v>
      </c>
      <c r="D4" s="422"/>
      <c r="E4" s="422"/>
      <c r="F4" s="422"/>
      <c r="G4" s="422"/>
      <c r="H4" s="422" t="s">
        <v>102</v>
      </c>
      <c r="I4" s="422"/>
      <c r="J4" s="422"/>
      <c r="K4" s="422"/>
      <c r="L4" s="422"/>
      <c r="M4" s="422"/>
      <c r="N4" s="422"/>
      <c r="O4" s="422"/>
      <c r="P4" s="3"/>
    </row>
    <row r="5" spans="1:19" s="269" customFormat="1" ht="15.75" thickBot="1">
      <c r="A5" s="8"/>
      <c r="B5" s="165" t="s">
        <v>217</v>
      </c>
      <c r="C5" s="11">
        <f>BS!C4</f>
        <v>40268</v>
      </c>
      <c r="D5" s="11">
        <f>BS!D4</f>
        <v>40633</v>
      </c>
      <c r="E5" s="11">
        <f>BS!E4</f>
        <v>40999</v>
      </c>
      <c r="F5" s="11">
        <f>BS!F4</f>
        <v>41364</v>
      </c>
      <c r="G5" s="11">
        <f>BS!G4</f>
        <v>41729</v>
      </c>
      <c r="H5" s="11">
        <f>BS!H4</f>
        <v>42094</v>
      </c>
      <c r="I5" s="11">
        <f>BS!I4</f>
        <v>42460</v>
      </c>
      <c r="J5" s="11">
        <f>BS!J4</f>
        <v>42825</v>
      </c>
      <c r="K5" s="11">
        <f>BS!K4</f>
        <v>43190</v>
      </c>
      <c r="L5" s="11">
        <f>BS!L4</f>
        <v>43555</v>
      </c>
      <c r="M5" s="11">
        <f>BS!M4</f>
        <v>43921</v>
      </c>
      <c r="N5" s="11">
        <f>BS!N4</f>
        <v>44286</v>
      </c>
      <c r="O5" s="11">
        <f>BS!O4</f>
        <v>44651</v>
      </c>
      <c r="P5" s="8"/>
    </row>
    <row r="6" spans="1:19">
      <c r="A6"/>
      <c r="B6" s="3" t="s">
        <v>2</v>
      </c>
      <c r="C6" s="14">
        <f>IS!C12</f>
        <v>6670</v>
      </c>
      <c r="D6" s="14">
        <f>IS!D12</f>
        <v>11903</v>
      </c>
      <c r="E6" s="14">
        <f>IS!E12</f>
        <v>20025</v>
      </c>
      <c r="F6" s="14">
        <f>IS!F12</f>
        <v>34517</v>
      </c>
      <c r="G6" s="14">
        <f>IS!G12</f>
        <v>55149.91</v>
      </c>
      <c r="H6" s="14">
        <f>IS!H12</f>
        <v>68330.66</v>
      </c>
      <c r="I6" s="14">
        <f>IS!I12</f>
        <v>86510.946400000001</v>
      </c>
      <c r="J6" s="14">
        <f>IS!J12</f>
        <v>110040.31599200002</v>
      </c>
      <c r="K6" s="14">
        <f>IS!K12</f>
        <v>140582.54571976003</v>
      </c>
      <c r="L6" s="14">
        <f>IS!L12</f>
        <v>177913.58213439761</v>
      </c>
      <c r="M6" s="14">
        <f>IS!M12</f>
        <v>205303.21036830725</v>
      </c>
      <c r="N6" s="14">
        <f>IS!N12</f>
        <v>226359.03360985673</v>
      </c>
      <c r="O6" s="14">
        <f>IS!O12</f>
        <v>238802.31400128704</v>
      </c>
      <c r="P6"/>
    </row>
    <row r="7" spans="1:19">
      <c r="A7"/>
      <c r="B7" s="3" t="s">
        <v>35</v>
      </c>
      <c r="C7" s="14">
        <f>-IS!C14</f>
        <v>1634</v>
      </c>
      <c r="D7" s="14">
        <f>-IS!D14</f>
        <v>3497</v>
      </c>
      <c r="E7" s="14">
        <f>-IS!E14</f>
        <v>6554</v>
      </c>
      <c r="F7" s="14">
        <f>-IS!F14</f>
        <v>9719</v>
      </c>
      <c r="G7" s="14">
        <f>-IS!G14</f>
        <v>13127.9202</v>
      </c>
      <c r="H7" s="14">
        <f>-IS!H14</f>
        <v>16399.358400000001</v>
      </c>
      <c r="I7" s="14">
        <f>-IS!I14</f>
        <v>20762.627135999999</v>
      </c>
      <c r="J7" s="14">
        <f>-IS!J14</f>
        <v>26409.675838080002</v>
      </c>
      <c r="K7" s="14">
        <f>-IS!K14</f>
        <v>33739.810972742409</v>
      </c>
      <c r="L7" s="14">
        <f>-IS!L14</f>
        <v>42699.259712255429</v>
      </c>
      <c r="M7" s="14">
        <f>-IS!M14</f>
        <v>49272.77048839374</v>
      </c>
      <c r="N7" s="14">
        <f>-IS!N14</f>
        <v>54326.168066365615</v>
      </c>
      <c r="O7" s="14">
        <f>-IS!O14</f>
        <v>57312.555360308885</v>
      </c>
      <c r="P7"/>
    </row>
    <row r="8" spans="1:19">
      <c r="A8"/>
      <c r="B8" s="3"/>
      <c r="C8"/>
      <c r="D8"/>
      <c r="E8"/>
      <c r="F8"/>
      <c r="G8"/>
      <c r="H8"/>
      <c r="I8"/>
      <c r="J8"/>
      <c r="K8"/>
      <c r="L8"/>
      <c r="M8"/>
      <c r="N8"/>
      <c r="O8"/>
      <c r="P8"/>
    </row>
    <row r="9" spans="1:19">
      <c r="A9"/>
      <c r="B9" s="68" t="s">
        <v>3</v>
      </c>
      <c r="C9"/>
      <c r="D9"/>
      <c r="E9"/>
      <c r="F9"/>
      <c r="G9"/>
      <c r="H9"/>
      <c r="I9"/>
      <c r="J9"/>
      <c r="K9"/>
      <c r="L9"/>
      <c r="M9"/>
      <c r="N9"/>
      <c r="O9"/>
      <c r="P9"/>
    </row>
    <row r="10" spans="1:19">
      <c r="A10"/>
      <c r="B10" s="254" t="s">
        <v>220</v>
      </c>
      <c r="C10" s="61"/>
      <c r="D10" s="62"/>
      <c r="E10" s="62">
        <f>BS!E11</f>
        <v>581</v>
      </c>
      <c r="F10" s="62">
        <f>BS!F11</f>
        <v>4426</v>
      </c>
      <c r="G10" s="62">
        <f>BS!G11</f>
        <v>12434</v>
      </c>
      <c r="H10" s="62">
        <f t="shared" ref="H10:O10" si="0">H26</f>
        <v>15032.745200000001</v>
      </c>
      <c r="I10" s="62">
        <f t="shared" si="0"/>
        <v>19032.408208000001</v>
      </c>
      <c r="J10" s="62">
        <f t="shared" si="0"/>
        <v>24208.869518240004</v>
      </c>
      <c r="K10" s="62">
        <f t="shared" si="0"/>
        <v>30928.160058347206</v>
      </c>
      <c r="L10" s="62">
        <f t="shared" si="0"/>
        <v>39140.988069567473</v>
      </c>
      <c r="M10" s="62">
        <f t="shared" si="0"/>
        <v>45166.706281027597</v>
      </c>
      <c r="N10" s="62">
        <f t="shared" si="0"/>
        <v>49798.987394168485</v>
      </c>
      <c r="O10" s="62">
        <f t="shared" si="0"/>
        <v>52536.509080283147</v>
      </c>
      <c r="P10" s="3"/>
      <c r="S10" s="266"/>
    </row>
    <row r="11" spans="1:19" ht="15.75" customHeight="1">
      <c r="A11"/>
      <c r="B11" s="254" t="s">
        <v>222</v>
      </c>
      <c r="C11" s="61"/>
      <c r="D11" s="62"/>
      <c r="E11" s="62">
        <f>BS!E13</f>
        <v>1669</v>
      </c>
      <c r="F11" s="62">
        <f>BS!F13</f>
        <v>1734</v>
      </c>
      <c r="G11" s="62">
        <f>BS!G13</f>
        <v>2980</v>
      </c>
      <c r="H11" s="62">
        <f t="shared" ref="H11:O11" si="1">H29</f>
        <v>3758.1863000000003</v>
      </c>
      <c r="I11" s="62">
        <f t="shared" si="1"/>
        <v>4758.1020520000002</v>
      </c>
      <c r="J11" s="62">
        <f t="shared" si="1"/>
        <v>6052.2173795600011</v>
      </c>
      <c r="K11" s="62">
        <f t="shared" si="1"/>
        <v>7732.0400145868016</v>
      </c>
      <c r="L11" s="62">
        <f t="shared" si="1"/>
        <v>9785.2470173918682</v>
      </c>
      <c r="M11" s="62">
        <f t="shared" si="1"/>
        <v>11291.676570256899</v>
      </c>
      <c r="N11" s="62">
        <f t="shared" si="1"/>
        <v>12449.746848542121</v>
      </c>
      <c r="O11" s="62">
        <f t="shared" si="1"/>
        <v>13134.127270070787</v>
      </c>
      <c r="P11" s="3"/>
      <c r="Q11" s="266"/>
    </row>
    <row r="12" spans="1:19" ht="15.75" thickBot="1">
      <c r="A12"/>
      <c r="B12" s="69" t="s">
        <v>4</v>
      </c>
      <c r="C12" s="66"/>
      <c r="D12" s="66">
        <f t="shared" ref="D12:L12" si="2">SUM(D10:D11)</f>
        <v>0</v>
      </c>
      <c r="E12" s="66">
        <f t="shared" si="2"/>
        <v>2250</v>
      </c>
      <c r="F12" s="66">
        <f t="shared" si="2"/>
        <v>6160</v>
      </c>
      <c r="G12" s="66">
        <f t="shared" si="2"/>
        <v>15414</v>
      </c>
      <c r="H12" s="66">
        <f t="shared" si="2"/>
        <v>18790.931500000002</v>
      </c>
      <c r="I12" s="66">
        <f t="shared" si="2"/>
        <v>23790.510260000003</v>
      </c>
      <c r="J12" s="66">
        <f t="shared" si="2"/>
        <v>30261.086897800007</v>
      </c>
      <c r="K12" s="66">
        <f t="shared" si="2"/>
        <v>38660.200072934007</v>
      </c>
      <c r="L12" s="66">
        <f t="shared" si="2"/>
        <v>48926.235086959343</v>
      </c>
      <c r="M12" s="66">
        <f t="shared" ref="M12:N12" si="3">SUM(M10:M11)</f>
        <v>56458.382851284492</v>
      </c>
      <c r="N12" s="66">
        <f t="shared" si="3"/>
        <v>62248.734242710605</v>
      </c>
      <c r="O12" s="66">
        <f t="shared" ref="O12" si="4">SUM(O10:O11)</f>
        <v>65670.636350353932</v>
      </c>
      <c r="P12" s="3"/>
      <c r="Q12" s="266"/>
    </row>
    <row r="13" spans="1:19">
      <c r="A13"/>
      <c r="B13" s="3"/>
      <c r="C13" s="62"/>
      <c r="D13" s="62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3"/>
      <c r="Q13" s="266"/>
    </row>
    <row r="14" spans="1:19">
      <c r="A14"/>
      <c r="B14" s="254" t="s">
        <v>229</v>
      </c>
      <c r="C14" s="61"/>
      <c r="D14" s="62"/>
      <c r="E14" s="62">
        <f>BS!E30</f>
        <v>339</v>
      </c>
      <c r="F14" s="62">
        <f>BS!F30</f>
        <v>1315</v>
      </c>
      <c r="G14" s="62">
        <f>BS!G30</f>
        <v>2073</v>
      </c>
      <c r="H14" s="62">
        <f t="shared" ref="H14:O14" si="5">H33</f>
        <v>2623.8973440000004</v>
      </c>
      <c r="I14" s="62">
        <f t="shared" si="5"/>
        <v>3322.0203417600001</v>
      </c>
      <c r="J14" s="62">
        <f t="shared" si="5"/>
        <v>4225.5481340928</v>
      </c>
      <c r="K14" s="62">
        <f t="shared" si="5"/>
        <v>5398.3697556387851</v>
      </c>
      <c r="L14" s="62">
        <f t="shared" si="5"/>
        <v>6831.8815539608686</v>
      </c>
      <c r="M14" s="62">
        <f t="shared" si="5"/>
        <v>7883.6432781429985</v>
      </c>
      <c r="N14" s="62">
        <f t="shared" si="5"/>
        <v>8692.1868906184991</v>
      </c>
      <c r="O14" s="62">
        <f t="shared" si="5"/>
        <v>9170.0088576494218</v>
      </c>
      <c r="P14" s="3"/>
      <c r="Q14" s="266"/>
    </row>
    <row r="15" spans="1:19">
      <c r="A15"/>
      <c r="B15" s="254" t="s">
        <v>230</v>
      </c>
      <c r="C15" s="61"/>
      <c r="D15" s="62"/>
      <c r="E15" s="62">
        <f>BS!E31</f>
        <v>4659</v>
      </c>
      <c r="F15" s="62">
        <f>BS!F31</f>
        <v>8961</v>
      </c>
      <c r="G15" s="62">
        <f>BS!G31</f>
        <v>13544</v>
      </c>
      <c r="H15" s="62">
        <f t="shared" ref="H15:O15" si="6">H36</f>
        <v>16399.358400000001</v>
      </c>
      <c r="I15" s="62">
        <f t="shared" si="6"/>
        <v>20762.627135999999</v>
      </c>
      <c r="J15" s="62">
        <f t="shared" si="6"/>
        <v>26409.675838080002</v>
      </c>
      <c r="K15" s="62">
        <f t="shared" si="6"/>
        <v>33739.810972742409</v>
      </c>
      <c r="L15" s="62">
        <f t="shared" si="6"/>
        <v>42699.259712255429</v>
      </c>
      <c r="M15" s="62">
        <f t="shared" si="6"/>
        <v>49272.77048839374</v>
      </c>
      <c r="N15" s="62">
        <f t="shared" si="6"/>
        <v>54326.168066365615</v>
      </c>
      <c r="O15" s="62">
        <f t="shared" si="6"/>
        <v>57312.555360308885</v>
      </c>
      <c r="P15" s="3"/>
      <c r="Q15" s="266"/>
    </row>
    <row r="16" spans="1:19">
      <c r="A16"/>
      <c r="B16" s="254" t="s">
        <v>231</v>
      </c>
      <c r="C16" s="61"/>
      <c r="D16" s="62"/>
      <c r="E16" s="62">
        <f>BS!E32</f>
        <v>745</v>
      </c>
      <c r="F16" s="62">
        <f>BS!F32</f>
        <v>3083</v>
      </c>
      <c r="G16" s="62">
        <f>BS!G32</f>
        <v>7879</v>
      </c>
      <c r="H16" s="62">
        <f t="shared" ref="H16:O16" si="7">H39</f>
        <v>9839.6150400000006</v>
      </c>
      <c r="I16" s="62">
        <f t="shared" si="7"/>
        <v>12457.576281599999</v>
      </c>
      <c r="J16" s="62">
        <f t="shared" si="7"/>
        <v>15845.805502848001</v>
      </c>
      <c r="K16" s="62">
        <f t="shared" si="7"/>
        <v>20243.886583645446</v>
      </c>
      <c r="L16" s="62">
        <f t="shared" si="7"/>
        <v>25619.555827353255</v>
      </c>
      <c r="M16" s="62">
        <f t="shared" si="7"/>
        <v>29563.662293036243</v>
      </c>
      <c r="N16" s="62">
        <f t="shared" si="7"/>
        <v>32595.700839819368</v>
      </c>
      <c r="O16" s="62">
        <f t="shared" si="7"/>
        <v>34387.533216185329</v>
      </c>
      <c r="P16" s="3"/>
      <c r="Q16" s="266"/>
    </row>
    <row r="17" spans="1:17">
      <c r="A17"/>
      <c r="B17" s="254" t="s">
        <v>232</v>
      </c>
      <c r="C17" s="61"/>
      <c r="D17" s="62"/>
      <c r="E17" s="62">
        <f>BS!E33</f>
        <v>4350</v>
      </c>
      <c r="F17" s="62">
        <f>BS!F33</f>
        <v>4929</v>
      </c>
      <c r="G17" s="62">
        <f>BS!G33</f>
        <v>6306</v>
      </c>
      <c r="H17" s="62">
        <f t="shared" ref="H17:O17" si="8">H42</f>
        <v>8199.6792000000005</v>
      </c>
      <c r="I17" s="62">
        <f t="shared" si="8"/>
        <v>10381.313568</v>
      </c>
      <c r="J17" s="62">
        <f t="shared" si="8"/>
        <v>13204.837919040001</v>
      </c>
      <c r="K17" s="62">
        <f t="shared" si="8"/>
        <v>16869.905486371204</v>
      </c>
      <c r="L17" s="62">
        <f t="shared" si="8"/>
        <v>21349.629856127714</v>
      </c>
      <c r="M17" s="62">
        <f t="shared" si="8"/>
        <v>24636.38524419687</v>
      </c>
      <c r="N17" s="62">
        <f t="shared" si="8"/>
        <v>27163.084033182808</v>
      </c>
      <c r="O17" s="62">
        <f t="shared" si="8"/>
        <v>28656.277680154442</v>
      </c>
      <c r="P17" s="3"/>
      <c r="Q17" s="266"/>
    </row>
    <row r="18" spans="1:17" ht="15.75" thickBot="1">
      <c r="A18"/>
      <c r="B18" s="69" t="s">
        <v>5</v>
      </c>
      <c r="C18" s="67"/>
      <c r="D18" s="67">
        <f t="shared" ref="D18:L18" si="9">SUM(D14:D17)</f>
        <v>0</v>
      </c>
      <c r="E18" s="67">
        <f t="shared" si="9"/>
        <v>10093</v>
      </c>
      <c r="F18" s="67">
        <f t="shared" si="9"/>
        <v>18288</v>
      </c>
      <c r="G18" s="67">
        <f t="shared" si="9"/>
        <v>29802</v>
      </c>
      <c r="H18" s="67">
        <f t="shared" si="9"/>
        <v>37062.549984000005</v>
      </c>
      <c r="I18" s="67">
        <f t="shared" si="9"/>
        <v>46923.537327359998</v>
      </c>
      <c r="J18" s="67">
        <f t="shared" si="9"/>
        <v>59685.867394060806</v>
      </c>
      <c r="K18" s="67">
        <f t="shared" si="9"/>
        <v>76251.972798397852</v>
      </c>
      <c r="L18" s="67">
        <f t="shared" si="9"/>
        <v>96500.326949697279</v>
      </c>
      <c r="M18" s="67">
        <f t="shared" ref="M18:N18" si="10">SUM(M14:M17)</f>
        <v>111356.46130376984</v>
      </c>
      <c r="N18" s="67">
        <f t="shared" si="10"/>
        <v>122777.13982998629</v>
      </c>
      <c r="O18" s="67">
        <f t="shared" ref="O18" si="11">SUM(O14:O17)</f>
        <v>129526.37511429808</v>
      </c>
      <c r="P18" s="3"/>
      <c r="Q18" s="266"/>
    </row>
    <row r="19" spans="1:17">
      <c r="A19"/>
      <c r="B19" s="3"/>
      <c r="C19" s="62"/>
      <c r="D19" s="62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3"/>
      <c r="Q19" s="266"/>
    </row>
    <row r="20" spans="1:17">
      <c r="A20"/>
      <c r="B20" s="4" t="s">
        <v>6</v>
      </c>
      <c r="C20" s="63"/>
      <c r="D20" s="63">
        <f t="shared" ref="D20:L20" si="12">D12-D18</f>
        <v>0</v>
      </c>
      <c r="E20" s="63">
        <f t="shared" si="12"/>
        <v>-7843</v>
      </c>
      <c r="F20" s="63">
        <f t="shared" si="12"/>
        <v>-12128</v>
      </c>
      <c r="G20" s="63">
        <f t="shared" si="12"/>
        <v>-14388</v>
      </c>
      <c r="H20" s="63">
        <f t="shared" si="12"/>
        <v>-18271.618484000002</v>
      </c>
      <c r="I20" s="63">
        <f t="shared" si="12"/>
        <v>-23133.027067359995</v>
      </c>
      <c r="J20" s="63">
        <f t="shared" si="12"/>
        <v>-29424.780496260799</v>
      </c>
      <c r="K20" s="63">
        <f t="shared" si="12"/>
        <v>-37591.772725463845</v>
      </c>
      <c r="L20" s="63">
        <f t="shared" si="12"/>
        <v>-47574.091862737936</v>
      </c>
      <c r="M20" s="63">
        <f t="shared" ref="M20:N20" si="13">M12-M18</f>
        <v>-54898.078452485352</v>
      </c>
      <c r="N20" s="63">
        <f t="shared" si="13"/>
        <v>-60528.405587275687</v>
      </c>
      <c r="O20" s="63">
        <f t="shared" ref="O20" si="14">O12-O18</f>
        <v>-63855.738763944144</v>
      </c>
      <c r="P20" s="3"/>
      <c r="Q20" s="266"/>
    </row>
    <row r="21" spans="1:17">
      <c r="A21"/>
      <c r="B21" s="3"/>
      <c r="C21" s="62"/>
      <c r="D21" s="62"/>
      <c r="E21" s="62"/>
      <c r="F21" s="62"/>
      <c r="G21" s="62"/>
      <c r="H21" s="62"/>
      <c r="I21" s="62"/>
      <c r="J21" s="62"/>
      <c r="K21" s="62"/>
      <c r="L21" s="62"/>
      <c r="M21" s="62"/>
      <c r="N21" s="62"/>
      <c r="O21" s="62"/>
      <c r="P21" s="3"/>
      <c r="Q21" s="266"/>
    </row>
    <row r="22" spans="1:17">
      <c r="A22"/>
      <c r="B22" s="3" t="s">
        <v>7</v>
      </c>
      <c r="C22" s="63"/>
      <c r="D22" s="63"/>
      <c r="E22" s="63">
        <f t="shared" ref="E22:J22" si="15">D20-E20</f>
        <v>7843</v>
      </c>
      <c r="F22" s="63">
        <f t="shared" si="15"/>
        <v>4285</v>
      </c>
      <c r="G22" s="63">
        <f t="shared" si="15"/>
        <v>2260</v>
      </c>
      <c r="H22" s="63">
        <f t="shared" si="15"/>
        <v>3883.6184840000024</v>
      </c>
      <c r="I22" s="63">
        <f t="shared" si="15"/>
        <v>4861.4085833599929</v>
      </c>
      <c r="J22" s="63">
        <f t="shared" si="15"/>
        <v>6291.7534289008036</v>
      </c>
      <c r="K22" s="63">
        <f>J20-K20</f>
        <v>8166.992229203046</v>
      </c>
      <c r="L22" s="63">
        <f>K20-L20</f>
        <v>9982.3191372740912</v>
      </c>
      <c r="M22" s="63">
        <f>L20-M20</f>
        <v>7323.9865897474156</v>
      </c>
      <c r="N22" s="63">
        <f>M20-N20</f>
        <v>5630.3271347903355</v>
      </c>
      <c r="O22" s="63">
        <f>N20-O20</f>
        <v>3327.3331766684569</v>
      </c>
      <c r="P22" s="3"/>
      <c r="Q22" s="266"/>
    </row>
    <row r="23" spans="1:17">
      <c r="A23"/>
      <c r="B23" s="3"/>
      <c r="C23" s="62"/>
      <c r="D23" s="62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3"/>
      <c r="Q23" s="266"/>
    </row>
    <row r="24" spans="1:17">
      <c r="A24"/>
      <c r="B24" s="68" t="s">
        <v>8</v>
      </c>
      <c r="C24" s="62"/>
      <c r="D24" s="62"/>
      <c r="E24" s="62"/>
      <c r="F24" s="62"/>
      <c r="G24" s="62"/>
      <c r="H24" s="62"/>
      <c r="I24" s="62"/>
      <c r="J24" s="62"/>
      <c r="K24" s="62"/>
      <c r="L24" s="62"/>
      <c r="M24" s="62"/>
      <c r="N24" s="62"/>
      <c r="O24" s="62"/>
      <c r="P24" s="3"/>
      <c r="Q24" s="266"/>
    </row>
    <row r="25" spans="1:17">
      <c r="A25"/>
      <c r="B25" s="3"/>
      <c r="C25" s="6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  <c r="P25" s="3"/>
      <c r="Q25" s="266"/>
    </row>
    <row r="26" spans="1:17">
      <c r="A26"/>
      <c r="B26" s="254" t="s">
        <v>220</v>
      </c>
      <c r="C26" s="62"/>
      <c r="D26" s="116"/>
      <c r="E26" s="116">
        <f>E10</f>
        <v>581</v>
      </c>
      <c r="F26" s="116">
        <f>F10</f>
        <v>4426</v>
      </c>
      <c r="G26" s="116">
        <f>G10</f>
        <v>12434</v>
      </c>
      <c r="H26" s="116">
        <f t="shared" ref="H26:O26" si="16">H27*H6</f>
        <v>15032.745200000001</v>
      </c>
      <c r="I26" s="116">
        <f t="shared" si="16"/>
        <v>19032.408208000001</v>
      </c>
      <c r="J26" s="116">
        <f t="shared" si="16"/>
        <v>24208.869518240004</v>
      </c>
      <c r="K26" s="116">
        <f t="shared" si="16"/>
        <v>30928.160058347206</v>
      </c>
      <c r="L26" s="116">
        <f t="shared" si="16"/>
        <v>39140.988069567473</v>
      </c>
      <c r="M26" s="116">
        <f t="shared" si="16"/>
        <v>45166.706281027597</v>
      </c>
      <c r="N26" s="116">
        <f t="shared" si="16"/>
        <v>49798.987394168485</v>
      </c>
      <c r="O26" s="116">
        <f t="shared" si="16"/>
        <v>52536.509080283147</v>
      </c>
      <c r="P26" s="3"/>
      <c r="Q26" s="266"/>
    </row>
    <row r="27" spans="1:17">
      <c r="A27"/>
      <c r="B27" s="115" t="s">
        <v>76</v>
      </c>
      <c r="C27" s="62"/>
      <c r="D27" s="117"/>
      <c r="E27" s="117">
        <f>E26/E6</f>
        <v>2.9013732833957553E-2</v>
      </c>
      <c r="F27" s="117">
        <f>F26/F6</f>
        <v>0.12822667091578063</v>
      </c>
      <c r="G27" s="117">
        <f>G26/G6</f>
        <v>0.22545821017658957</v>
      </c>
      <c r="H27" s="73">
        <v>0.22</v>
      </c>
      <c r="I27" s="73">
        <v>0.22</v>
      </c>
      <c r="J27" s="73">
        <v>0.22</v>
      </c>
      <c r="K27" s="73">
        <v>0.22</v>
      </c>
      <c r="L27" s="73">
        <v>0.22</v>
      </c>
      <c r="M27" s="73">
        <v>0.22</v>
      </c>
      <c r="N27" s="73">
        <v>0.22</v>
      </c>
      <c r="O27" s="73">
        <v>0.22</v>
      </c>
      <c r="P27" s="3"/>
      <c r="Q27" s="266"/>
    </row>
    <row r="28" spans="1:17">
      <c r="A28"/>
      <c r="B28" s="96"/>
      <c r="C28" s="62"/>
      <c r="D28" s="72"/>
      <c r="E28" s="72"/>
      <c r="F28" s="72"/>
      <c r="G28" s="72"/>
      <c r="H28" s="72"/>
      <c r="I28" s="72"/>
      <c r="J28" s="72"/>
      <c r="K28" s="72"/>
      <c r="L28" s="72"/>
      <c r="M28" s="72"/>
      <c r="N28" s="72"/>
      <c r="O28" s="72"/>
      <c r="P28" s="3"/>
      <c r="Q28" s="266"/>
    </row>
    <row r="29" spans="1:17">
      <c r="A29"/>
      <c r="B29" s="254" t="s">
        <v>222</v>
      </c>
      <c r="C29" s="62"/>
      <c r="D29" s="116"/>
      <c r="E29" s="116">
        <f>E11</f>
        <v>1669</v>
      </c>
      <c r="F29" s="116">
        <f>F11</f>
        <v>1734</v>
      </c>
      <c r="G29" s="116">
        <f>G11</f>
        <v>2980</v>
      </c>
      <c r="H29" s="116">
        <f t="shared" ref="H29:O29" si="17">H30*H6</f>
        <v>3758.1863000000003</v>
      </c>
      <c r="I29" s="116">
        <f t="shared" si="17"/>
        <v>4758.1020520000002</v>
      </c>
      <c r="J29" s="116">
        <f t="shared" si="17"/>
        <v>6052.2173795600011</v>
      </c>
      <c r="K29" s="116">
        <f t="shared" si="17"/>
        <v>7732.0400145868016</v>
      </c>
      <c r="L29" s="116">
        <f t="shared" si="17"/>
        <v>9785.2470173918682</v>
      </c>
      <c r="M29" s="116">
        <f t="shared" si="17"/>
        <v>11291.676570256899</v>
      </c>
      <c r="N29" s="116">
        <f t="shared" si="17"/>
        <v>12449.746848542121</v>
      </c>
      <c r="O29" s="116">
        <f t="shared" si="17"/>
        <v>13134.127270070787</v>
      </c>
      <c r="P29" s="3"/>
      <c r="Q29" s="266"/>
    </row>
    <row r="30" spans="1:17">
      <c r="A30"/>
      <c r="B30" s="115" t="s">
        <v>76</v>
      </c>
      <c r="C30" s="62"/>
      <c r="D30" s="117"/>
      <c r="E30" s="117">
        <f>E29/E6</f>
        <v>8.3345817727840193E-2</v>
      </c>
      <c r="F30" s="117">
        <f>F29/F6</f>
        <v>5.0236115537271489E-2</v>
      </c>
      <c r="G30" s="117">
        <f>G29/G6</f>
        <v>5.4034539675586052E-2</v>
      </c>
      <c r="H30" s="73">
        <v>5.5E-2</v>
      </c>
      <c r="I30" s="73">
        <v>5.5E-2</v>
      </c>
      <c r="J30" s="73">
        <v>5.5E-2</v>
      </c>
      <c r="K30" s="73">
        <v>5.5E-2</v>
      </c>
      <c r="L30" s="73">
        <v>5.5E-2</v>
      </c>
      <c r="M30" s="73">
        <v>5.5E-2</v>
      </c>
      <c r="N30" s="73">
        <v>5.5E-2</v>
      </c>
      <c r="O30" s="73">
        <v>5.5E-2</v>
      </c>
      <c r="P30" s="3"/>
      <c r="Q30" s="266"/>
    </row>
    <row r="31" spans="1:17">
      <c r="A31"/>
      <c r="B31" s="3"/>
      <c r="C31" s="62"/>
      <c r="D31" s="72"/>
      <c r="E31" s="72"/>
      <c r="F31" s="72"/>
      <c r="G31" s="72"/>
      <c r="H31" s="72"/>
      <c r="I31" s="72"/>
      <c r="J31" s="72"/>
      <c r="K31" s="72"/>
      <c r="L31" s="72"/>
      <c r="M31" s="72"/>
      <c r="N31" s="72"/>
      <c r="O31" s="72"/>
      <c r="P31" s="3"/>
      <c r="Q31" s="266"/>
    </row>
    <row r="32" spans="1:17">
      <c r="A32"/>
      <c r="B32" s="96"/>
      <c r="C32" s="62"/>
      <c r="D32" s="72"/>
      <c r="E32" s="72"/>
      <c r="F32" s="72"/>
      <c r="G32" s="72"/>
      <c r="H32" s="72"/>
      <c r="I32" s="72"/>
      <c r="J32" s="72"/>
      <c r="K32" s="72"/>
      <c r="L32" s="72"/>
      <c r="M32" s="72"/>
      <c r="N32" s="72"/>
      <c r="O32" s="72"/>
      <c r="P32" s="3"/>
      <c r="Q32" s="266"/>
    </row>
    <row r="33" spans="1:17">
      <c r="A33"/>
      <c r="B33" s="254" t="s">
        <v>229</v>
      </c>
      <c r="C33" s="62"/>
      <c r="D33" s="116"/>
      <c r="E33" s="116">
        <f>E14</f>
        <v>339</v>
      </c>
      <c r="F33" s="116">
        <f>F14</f>
        <v>1315</v>
      </c>
      <c r="G33" s="116">
        <f>G14</f>
        <v>2073</v>
      </c>
      <c r="H33" s="116">
        <f t="shared" ref="H33:O33" si="18">H34*H$7</f>
        <v>2623.8973440000004</v>
      </c>
      <c r="I33" s="116">
        <f t="shared" si="18"/>
        <v>3322.0203417600001</v>
      </c>
      <c r="J33" s="116">
        <f t="shared" si="18"/>
        <v>4225.5481340928</v>
      </c>
      <c r="K33" s="116">
        <f t="shared" si="18"/>
        <v>5398.3697556387851</v>
      </c>
      <c r="L33" s="116">
        <f t="shared" si="18"/>
        <v>6831.8815539608686</v>
      </c>
      <c r="M33" s="116">
        <f t="shared" si="18"/>
        <v>7883.6432781429985</v>
      </c>
      <c r="N33" s="116">
        <f t="shared" si="18"/>
        <v>8692.1868906184991</v>
      </c>
      <c r="O33" s="116">
        <f t="shared" si="18"/>
        <v>9170.0088576494218</v>
      </c>
      <c r="P33" s="3"/>
      <c r="Q33" s="266"/>
    </row>
    <row r="34" spans="1:17">
      <c r="A34"/>
      <c r="B34" s="115" t="s">
        <v>77</v>
      </c>
      <c r="C34" s="62"/>
      <c r="D34" s="117"/>
      <c r="E34" s="117">
        <f>E14/E7</f>
        <v>5.1724137931034482E-2</v>
      </c>
      <c r="F34" s="117">
        <f>F14/F7</f>
        <v>0.13530198580100833</v>
      </c>
      <c r="G34" s="117">
        <f>G14/G7</f>
        <v>0.15790772402775574</v>
      </c>
      <c r="H34" s="73">
        <v>0.16</v>
      </c>
      <c r="I34" s="73">
        <v>0.16</v>
      </c>
      <c r="J34" s="73">
        <v>0.16</v>
      </c>
      <c r="K34" s="73">
        <v>0.16</v>
      </c>
      <c r="L34" s="73">
        <v>0.16</v>
      </c>
      <c r="M34" s="73">
        <v>0.16</v>
      </c>
      <c r="N34" s="73">
        <v>0.16</v>
      </c>
      <c r="O34" s="73">
        <v>0.16</v>
      </c>
      <c r="P34" s="3"/>
      <c r="Q34" s="266"/>
    </row>
    <row r="35" spans="1:17">
      <c r="A35"/>
      <c r="B35" s="115"/>
      <c r="C35" s="62"/>
      <c r="D35" s="72"/>
      <c r="E35" s="72"/>
      <c r="F35" s="72"/>
      <c r="G35" s="72"/>
      <c r="H35" s="72"/>
      <c r="I35" s="72"/>
      <c r="J35" s="72"/>
      <c r="K35" s="72"/>
      <c r="L35" s="72"/>
      <c r="M35" s="72"/>
      <c r="N35" s="72"/>
      <c r="O35" s="72"/>
      <c r="P35" s="3"/>
      <c r="Q35" s="266"/>
    </row>
    <row r="36" spans="1:17">
      <c r="A36"/>
      <c r="B36" s="254" t="s">
        <v>230</v>
      </c>
      <c r="C36" s="62"/>
      <c r="D36" s="116"/>
      <c r="E36" s="116">
        <f>E15</f>
        <v>4659</v>
      </c>
      <c r="F36" s="116">
        <f>F15</f>
        <v>8961</v>
      </c>
      <c r="G36" s="116">
        <f>G15</f>
        <v>13544</v>
      </c>
      <c r="H36" s="116">
        <f t="shared" ref="H36:O36" si="19">H37*H$7</f>
        <v>16399.358400000001</v>
      </c>
      <c r="I36" s="116">
        <f t="shared" si="19"/>
        <v>20762.627135999999</v>
      </c>
      <c r="J36" s="116">
        <f t="shared" si="19"/>
        <v>26409.675838080002</v>
      </c>
      <c r="K36" s="116">
        <f t="shared" si="19"/>
        <v>33739.810972742409</v>
      </c>
      <c r="L36" s="116">
        <f t="shared" si="19"/>
        <v>42699.259712255429</v>
      </c>
      <c r="M36" s="116">
        <f t="shared" si="19"/>
        <v>49272.77048839374</v>
      </c>
      <c r="N36" s="116">
        <f t="shared" si="19"/>
        <v>54326.168066365615</v>
      </c>
      <c r="O36" s="116">
        <f t="shared" si="19"/>
        <v>57312.555360308885</v>
      </c>
      <c r="P36" s="3"/>
      <c r="Q36" s="266"/>
    </row>
    <row r="37" spans="1:17">
      <c r="A37"/>
      <c r="B37" s="115" t="s">
        <v>77</v>
      </c>
      <c r="C37" s="62"/>
      <c r="D37" s="117"/>
      <c r="E37" s="117">
        <f>E36/E7</f>
        <v>0.7108635947512969</v>
      </c>
      <c r="F37" s="117">
        <f>F36/F7</f>
        <v>0.92200843708200431</v>
      </c>
      <c r="G37" s="117">
        <f>G36/G7</f>
        <v>1.0316942663926307</v>
      </c>
      <c r="H37" s="73">
        <v>1</v>
      </c>
      <c r="I37" s="73">
        <v>1</v>
      </c>
      <c r="J37" s="73">
        <v>1</v>
      </c>
      <c r="K37" s="73">
        <v>1</v>
      </c>
      <c r="L37" s="73">
        <v>1</v>
      </c>
      <c r="M37" s="73">
        <v>1</v>
      </c>
      <c r="N37" s="73">
        <v>1</v>
      </c>
      <c r="O37" s="73">
        <v>1</v>
      </c>
      <c r="P37" s="3"/>
      <c r="Q37" s="266"/>
    </row>
    <row r="38" spans="1:17">
      <c r="A38"/>
      <c r="B38" s="115"/>
      <c r="C38" s="62"/>
      <c r="D38" s="72"/>
      <c r="E38" s="72"/>
      <c r="F38" s="72"/>
      <c r="G38" s="72"/>
      <c r="H38" s="72"/>
      <c r="I38" s="72"/>
      <c r="J38" s="72"/>
      <c r="K38" s="72"/>
      <c r="L38" s="72"/>
      <c r="M38" s="72"/>
      <c r="N38" s="72"/>
      <c r="O38" s="72"/>
      <c r="P38" s="3"/>
      <c r="Q38" s="266"/>
    </row>
    <row r="39" spans="1:17">
      <c r="A39"/>
      <c r="B39" s="254" t="s">
        <v>231</v>
      </c>
      <c r="C39" s="62"/>
      <c r="D39" s="116"/>
      <c r="E39" s="116">
        <f>E16</f>
        <v>745</v>
      </c>
      <c r="F39" s="116">
        <f>F16</f>
        <v>3083</v>
      </c>
      <c r="G39" s="116">
        <f>G16</f>
        <v>7879</v>
      </c>
      <c r="H39" s="116">
        <f t="shared" ref="H39:O42" si="20">H40*H$7</f>
        <v>9839.6150400000006</v>
      </c>
      <c r="I39" s="116">
        <f t="shared" si="20"/>
        <v>12457.576281599999</v>
      </c>
      <c r="J39" s="116">
        <f t="shared" si="20"/>
        <v>15845.805502848001</v>
      </c>
      <c r="K39" s="116">
        <f t="shared" si="20"/>
        <v>20243.886583645446</v>
      </c>
      <c r="L39" s="116">
        <f t="shared" si="20"/>
        <v>25619.555827353255</v>
      </c>
      <c r="M39" s="116">
        <f t="shared" si="20"/>
        <v>29563.662293036243</v>
      </c>
      <c r="N39" s="116">
        <f t="shared" si="20"/>
        <v>32595.700839819368</v>
      </c>
      <c r="O39" s="116">
        <f t="shared" si="20"/>
        <v>34387.533216185329</v>
      </c>
      <c r="P39" s="3"/>
      <c r="Q39" s="266"/>
    </row>
    <row r="40" spans="1:17">
      <c r="A40"/>
      <c r="B40" s="115"/>
      <c r="C40" s="62"/>
      <c r="D40" s="117"/>
      <c r="E40" s="117">
        <f>E39/E7</f>
        <v>0.11367104058590174</v>
      </c>
      <c r="F40" s="117">
        <f>F39/F7</f>
        <v>0.31721370511369484</v>
      </c>
      <c r="G40" s="117">
        <f>G39/G7</f>
        <v>0.60017122895064523</v>
      </c>
      <c r="H40" s="73">
        <v>0.6</v>
      </c>
      <c r="I40" s="73">
        <v>0.6</v>
      </c>
      <c r="J40" s="73">
        <v>0.6</v>
      </c>
      <c r="K40" s="73">
        <v>0.6</v>
      </c>
      <c r="L40" s="73">
        <v>0.6</v>
      </c>
      <c r="M40" s="73">
        <v>0.6</v>
      </c>
      <c r="N40" s="73">
        <v>0.6</v>
      </c>
      <c r="O40" s="73">
        <v>0.6</v>
      </c>
      <c r="P40" s="3"/>
      <c r="Q40" s="266"/>
    </row>
    <row r="41" spans="1:17">
      <c r="A41"/>
      <c r="B41" s="115"/>
      <c r="C41" s="62"/>
      <c r="D41" s="117"/>
      <c r="E41" s="117"/>
      <c r="F41" s="117"/>
      <c r="G41" s="117"/>
      <c r="H41" s="73"/>
      <c r="I41" s="73"/>
      <c r="J41" s="73"/>
      <c r="K41" s="73"/>
      <c r="L41" s="73"/>
      <c r="M41" s="73"/>
      <c r="N41" s="73"/>
      <c r="O41" s="73"/>
      <c r="P41" s="3"/>
      <c r="Q41" s="266"/>
    </row>
    <row r="42" spans="1:17">
      <c r="A42"/>
      <c r="B42" s="254" t="s">
        <v>232</v>
      </c>
      <c r="C42" s="62"/>
      <c r="D42" s="116"/>
      <c r="E42" s="116">
        <f>E17</f>
        <v>4350</v>
      </c>
      <c r="F42" s="116">
        <f>F17</f>
        <v>4929</v>
      </c>
      <c r="G42" s="116">
        <f>G17</f>
        <v>6306</v>
      </c>
      <c r="H42" s="116">
        <f t="shared" si="20"/>
        <v>8199.6792000000005</v>
      </c>
      <c r="I42" s="116">
        <f t="shared" si="20"/>
        <v>10381.313568</v>
      </c>
      <c r="J42" s="116">
        <f t="shared" si="20"/>
        <v>13204.837919040001</v>
      </c>
      <c r="K42" s="116">
        <f t="shared" si="20"/>
        <v>16869.905486371204</v>
      </c>
      <c r="L42" s="116">
        <f t="shared" si="20"/>
        <v>21349.629856127714</v>
      </c>
      <c r="M42" s="116">
        <f t="shared" si="20"/>
        <v>24636.38524419687</v>
      </c>
      <c r="N42" s="116">
        <f t="shared" si="20"/>
        <v>27163.084033182808</v>
      </c>
      <c r="O42" s="116">
        <f t="shared" si="20"/>
        <v>28656.277680154442</v>
      </c>
      <c r="P42" s="3"/>
      <c r="Q42" s="266"/>
    </row>
    <row r="43" spans="1:17">
      <c r="A43"/>
      <c r="B43" s="115" t="s">
        <v>77</v>
      </c>
      <c r="C43" s="62"/>
      <c r="D43" s="117"/>
      <c r="E43" s="117">
        <f>E42/E7</f>
        <v>0.66371681415929207</v>
      </c>
      <c r="F43" s="117">
        <f>F42/F7</f>
        <v>0.50715094145488215</v>
      </c>
      <c r="G43" s="117">
        <f>G42/G7</f>
        <v>0.48035026903956957</v>
      </c>
      <c r="H43" s="73">
        <v>0.5</v>
      </c>
      <c r="I43" s="73">
        <v>0.5</v>
      </c>
      <c r="J43" s="73">
        <v>0.5</v>
      </c>
      <c r="K43" s="73">
        <v>0.5</v>
      </c>
      <c r="L43" s="73">
        <v>0.5</v>
      </c>
      <c r="M43" s="73">
        <v>0.5</v>
      </c>
      <c r="N43" s="73">
        <v>0.5</v>
      </c>
      <c r="O43" s="73">
        <v>0.5</v>
      </c>
      <c r="P43" s="3"/>
      <c r="Q43" s="266"/>
    </row>
    <row r="44" spans="1:17">
      <c r="A44"/>
      <c r="B44" s="3"/>
      <c r="C44" s="62"/>
      <c r="D44" s="72"/>
      <c r="E44" s="72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3"/>
      <c r="Q44" s="266"/>
    </row>
    <row r="45" spans="1:17">
      <c r="B45" s="266"/>
      <c r="C45" s="274"/>
      <c r="D45" s="275"/>
      <c r="E45" s="275"/>
      <c r="F45" s="275"/>
      <c r="G45" s="275"/>
      <c r="H45" s="275"/>
      <c r="I45" s="275"/>
      <c r="J45" s="275"/>
      <c r="K45" s="275"/>
      <c r="L45" s="275"/>
      <c r="M45" s="275"/>
      <c r="N45" s="275"/>
      <c r="O45" s="275"/>
      <c r="P45" s="266"/>
      <c r="Q45" s="266"/>
    </row>
    <row r="46" spans="1:17">
      <c r="C46" s="274"/>
      <c r="D46" s="274"/>
      <c r="E46" s="274"/>
      <c r="F46" s="274"/>
      <c r="G46" s="274"/>
      <c r="H46" s="274"/>
      <c r="I46" s="274"/>
      <c r="J46" s="274"/>
      <c r="K46" s="274"/>
      <c r="L46" s="274"/>
      <c r="M46" s="274"/>
      <c r="N46" s="274"/>
      <c r="O46" s="274"/>
      <c r="P46" s="266"/>
      <c r="Q46" s="266"/>
    </row>
    <row r="47" spans="1:17">
      <c r="C47" s="274"/>
      <c r="D47" s="274"/>
      <c r="E47" s="274"/>
      <c r="F47" s="274"/>
      <c r="G47" s="274"/>
      <c r="H47" s="274"/>
      <c r="I47" s="274"/>
      <c r="J47" s="274"/>
      <c r="K47" s="274"/>
      <c r="L47" s="274"/>
      <c r="M47" s="274"/>
      <c r="N47" s="274"/>
      <c r="O47" s="274"/>
      <c r="P47" s="266"/>
      <c r="Q47" s="266"/>
    </row>
    <row r="48" spans="1:17">
      <c r="C48" s="274"/>
      <c r="D48" s="274"/>
      <c r="E48" s="274"/>
      <c r="F48" s="274"/>
      <c r="G48" s="274"/>
      <c r="H48" s="274"/>
      <c r="I48" s="274"/>
      <c r="J48" s="274"/>
      <c r="K48" s="274"/>
      <c r="L48" s="274"/>
      <c r="M48" s="274"/>
      <c r="N48" s="274"/>
      <c r="O48" s="274"/>
      <c r="P48" s="266"/>
      <c r="Q48" s="266"/>
    </row>
    <row r="49" spans="3:17">
      <c r="C49" s="274"/>
      <c r="D49" s="274"/>
      <c r="E49" s="274"/>
      <c r="F49" s="274"/>
      <c r="G49" s="274"/>
      <c r="H49" s="274"/>
      <c r="I49" s="274"/>
      <c r="J49" s="274"/>
      <c r="K49" s="274"/>
      <c r="L49" s="274"/>
      <c r="M49" s="274"/>
      <c r="N49" s="274"/>
      <c r="O49" s="274"/>
      <c r="P49" s="266"/>
      <c r="Q49" s="266"/>
    </row>
    <row r="50" spans="3:17">
      <c r="C50" s="276"/>
      <c r="D50" s="276"/>
      <c r="E50" s="276"/>
      <c r="F50" s="276"/>
      <c r="G50" s="276"/>
      <c r="H50" s="276"/>
      <c r="I50" s="276"/>
      <c r="J50" s="276"/>
      <c r="K50" s="276"/>
      <c r="L50" s="276"/>
      <c r="M50" s="276"/>
      <c r="N50" s="276"/>
      <c r="O50" s="276"/>
    </row>
    <row r="51" spans="3:17">
      <c r="C51" s="276"/>
      <c r="D51" s="276"/>
      <c r="E51" s="276"/>
      <c r="F51" s="276"/>
      <c r="G51" s="276"/>
      <c r="H51" s="276"/>
      <c r="I51" s="276"/>
      <c r="J51" s="276"/>
      <c r="K51" s="276"/>
      <c r="L51" s="276"/>
      <c r="M51" s="276"/>
      <c r="N51" s="276"/>
      <c r="O51" s="276"/>
    </row>
    <row r="52" spans="3:17">
      <c r="C52" s="276"/>
      <c r="D52" s="276"/>
      <c r="E52" s="276"/>
      <c r="F52" s="276"/>
      <c r="G52" s="276"/>
      <c r="H52" s="276"/>
      <c r="I52" s="276"/>
      <c r="J52" s="276"/>
      <c r="K52" s="276"/>
      <c r="L52" s="276"/>
      <c r="M52" s="276"/>
      <c r="N52" s="276"/>
      <c r="O52" s="276"/>
    </row>
  </sheetData>
  <mergeCells count="2">
    <mergeCell ref="C4:G4"/>
    <mergeCell ref="H4:O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FF00"/>
  </sheetPr>
  <dimension ref="A1:V87"/>
  <sheetViews>
    <sheetView showGridLines="0" zoomScale="85" zoomScaleNormal="85" workbookViewId="0">
      <pane xSplit="2" ySplit="5" topLeftCell="C6" activePane="bottomRight" state="frozen"/>
      <selection activeCell="H14" sqref="H14"/>
      <selection pane="topRight" activeCell="H14" sqref="H14"/>
      <selection pane="bottomLeft" activeCell="H14" sqref="H14"/>
      <selection pane="bottomRight"/>
    </sheetView>
  </sheetViews>
  <sheetFormatPr defaultRowHeight="15"/>
  <cols>
    <col min="1" max="1" width="2.5703125" style="262" customWidth="1"/>
    <col min="2" max="2" width="37.5703125" style="262" customWidth="1"/>
    <col min="3" max="3" width="10.5703125" style="262" bestFit="1" customWidth="1"/>
    <col min="4" max="4" width="9.7109375" style="262" bestFit="1" customWidth="1"/>
    <col min="5" max="5" width="11.7109375" style="262" bestFit="1" customWidth="1"/>
    <col min="6" max="6" width="12" style="262" customWidth="1"/>
    <col min="7" max="7" width="12" style="262" bestFit="1" customWidth="1"/>
    <col min="8" max="8" width="12.85546875" style="262" customWidth="1"/>
    <col min="9" max="9" width="11.7109375" style="262" bestFit="1" customWidth="1"/>
    <col min="10" max="15" width="12.28515625" style="262" bestFit="1" customWidth="1"/>
    <col min="16" max="16" width="12.5703125" style="262" customWidth="1"/>
    <col min="17" max="18" width="9.140625" style="262"/>
    <col min="19" max="19" width="33.42578125" style="262" bestFit="1" customWidth="1"/>
    <col min="20" max="258" width="9.140625" style="262"/>
    <col min="259" max="259" width="37.5703125" style="262" customWidth="1"/>
    <col min="260" max="261" width="9.5703125" style="262" bestFit="1" customWidth="1"/>
    <col min="262" max="262" width="13.140625" style="262" customWidth="1"/>
    <col min="263" max="268" width="9.7109375" style="262" bestFit="1" customWidth="1"/>
    <col min="269" max="269" width="9.5703125" style="262" bestFit="1" customWidth="1"/>
    <col min="270" max="514" width="9.140625" style="262"/>
    <col min="515" max="515" width="37.5703125" style="262" customWidth="1"/>
    <col min="516" max="517" width="9.5703125" style="262" bestFit="1" customWidth="1"/>
    <col min="518" max="518" width="13.140625" style="262" customWidth="1"/>
    <col min="519" max="524" width="9.7109375" style="262" bestFit="1" customWidth="1"/>
    <col min="525" max="525" width="9.5703125" style="262" bestFit="1" customWidth="1"/>
    <col min="526" max="770" width="9.140625" style="262"/>
    <col min="771" max="771" width="37.5703125" style="262" customWidth="1"/>
    <col min="772" max="773" width="9.5703125" style="262" bestFit="1" customWidth="1"/>
    <col min="774" max="774" width="13.140625" style="262" customWidth="1"/>
    <col min="775" max="780" width="9.7109375" style="262" bestFit="1" customWidth="1"/>
    <col min="781" max="781" width="9.5703125" style="262" bestFit="1" customWidth="1"/>
    <col min="782" max="1026" width="9.140625" style="262"/>
    <col min="1027" max="1027" width="37.5703125" style="262" customWidth="1"/>
    <col min="1028" max="1029" width="9.5703125" style="262" bestFit="1" customWidth="1"/>
    <col min="1030" max="1030" width="13.140625" style="262" customWidth="1"/>
    <col min="1031" max="1036" width="9.7109375" style="262" bestFit="1" customWidth="1"/>
    <col min="1037" max="1037" width="9.5703125" style="262" bestFit="1" customWidth="1"/>
    <col min="1038" max="1282" width="9.140625" style="262"/>
    <col min="1283" max="1283" width="37.5703125" style="262" customWidth="1"/>
    <col min="1284" max="1285" width="9.5703125" style="262" bestFit="1" customWidth="1"/>
    <col min="1286" max="1286" width="13.140625" style="262" customWidth="1"/>
    <col min="1287" max="1292" width="9.7109375" style="262" bestFit="1" customWidth="1"/>
    <col min="1293" max="1293" width="9.5703125" style="262" bestFit="1" customWidth="1"/>
    <col min="1294" max="1538" width="9.140625" style="262"/>
    <col min="1539" max="1539" width="37.5703125" style="262" customWidth="1"/>
    <col min="1540" max="1541" width="9.5703125" style="262" bestFit="1" customWidth="1"/>
    <col min="1542" max="1542" width="13.140625" style="262" customWidth="1"/>
    <col min="1543" max="1548" width="9.7109375" style="262" bestFit="1" customWidth="1"/>
    <col min="1549" max="1549" width="9.5703125" style="262" bestFit="1" customWidth="1"/>
    <col min="1550" max="1794" width="9.140625" style="262"/>
    <col min="1795" max="1795" width="37.5703125" style="262" customWidth="1"/>
    <col min="1796" max="1797" width="9.5703125" style="262" bestFit="1" customWidth="1"/>
    <col min="1798" max="1798" width="13.140625" style="262" customWidth="1"/>
    <col min="1799" max="1804" width="9.7109375" style="262" bestFit="1" customWidth="1"/>
    <col min="1805" max="1805" width="9.5703125" style="262" bestFit="1" customWidth="1"/>
    <col min="1806" max="2050" width="9.140625" style="262"/>
    <col min="2051" max="2051" width="37.5703125" style="262" customWidth="1"/>
    <col min="2052" max="2053" width="9.5703125" style="262" bestFit="1" customWidth="1"/>
    <col min="2054" max="2054" width="13.140625" style="262" customWidth="1"/>
    <col min="2055" max="2060" width="9.7109375" style="262" bestFit="1" customWidth="1"/>
    <col min="2061" max="2061" width="9.5703125" style="262" bestFit="1" customWidth="1"/>
    <col min="2062" max="2306" width="9.140625" style="262"/>
    <col min="2307" max="2307" width="37.5703125" style="262" customWidth="1"/>
    <col min="2308" max="2309" width="9.5703125" style="262" bestFit="1" customWidth="1"/>
    <col min="2310" max="2310" width="13.140625" style="262" customWidth="1"/>
    <col min="2311" max="2316" width="9.7109375" style="262" bestFit="1" customWidth="1"/>
    <col min="2317" max="2317" width="9.5703125" style="262" bestFit="1" customWidth="1"/>
    <col min="2318" max="2562" width="9.140625" style="262"/>
    <col min="2563" max="2563" width="37.5703125" style="262" customWidth="1"/>
    <col min="2564" max="2565" width="9.5703125" style="262" bestFit="1" customWidth="1"/>
    <col min="2566" max="2566" width="13.140625" style="262" customWidth="1"/>
    <col min="2567" max="2572" width="9.7109375" style="262" bestFit="1" customWidth="1"/>
    <col min="2573" max="2573" width="9.5703125" style="262" bestFit="1" customWidth="1"/>
    <col min="2574" max="2818" width="9.140625" style="262"/>
    <col min="2819" max="2819" width="37.5703125" style="262" customWidth="1"/>
    <col min="2820" max="2821" width="9.5703125" style="262" bestFit="1" customWidth="1"/>
    <col min="2822" max="2822" width="13.140625" style="262" customWidth="1"/>
    <col min="2823" max="2828" width="9.7109375" style="262" bestFit="1" customWidth="1"/>
    <col min="2829" max="2829" width="9.5703125" style="262" bestFit="1" customWidth="1"/>
    <col min="2830" max="3074" width="9.140625" style="262"/>
    <col min="3075" max="3075" width="37.5703125" style="262" customWidth="1"/>
    <col min="3076" max="3077" width="9.5703125" style="262" bestFit="1" customWidth="1"/>
    <col min="3078" max="3078" width="13.140625" style="262" customWidth="1"/>
    <col min="3079" max="3084" width="9.7109375" style="262" bestFit="1" customWidth="1"/>
    <col min="3085" max="3085" width="9.5703125" style="262" bestFit="1" customWidth="1"/>
    <col min="3086" max="3330" width="9.140625" style="262"/>
    <col min="3331" max="3331" width="37.5703125" style="262" customWidth="1"/>
    <col min="3332" max="3333" width="9.5703125" style="262" bestFit="1" customWidth="1"/>
    <col min="3334" max="3334" width="13.140625" style="262" customWidth="1"/>
    <col min="3335" max="3340" width="9.7109375" style="262" bestFit="1" customWidth="1"/>
    <col min="3341" max="3341" width="9.5703125" style="262" bestFit="1" customWidth="1"/>
    <col min="3342" max="3586" width="9.140625" style="262"/>
    <col min="3587" max="3587" width="37.5703125" style="262" customWidth="1"/>
    <col min="3588" max="3589" width="9.5703125" style="262" bestFit="1" customWidth="1"/>
    <col min="3590" max="3590" width="13.140625" style="262" customWidth="1"/>
    <col min="3591" max="3596" width="9.7109375" style="262" bestFit="1" customWidth="1"/>
    <col min="3597" max="3597" width="9.5703125" style="262" bestFit="1" customWidth="1"/>
    <col min="3598" max="3842" width="9.140625" style="262"/>
    <col min="3843" max="3843" width="37.5703125" style="262" customWidth="1"/>
    <col min="3844" max="3845" width="9.5703125" style="262" bestFit="1" customWidth="1"/>
    <col min="3846" max="3846" width="13.140625" style="262" customWidth="1"/>
    <col min="3847" max="3852" width="9.7109375" style="262" bestFit="1" customWidth="1"/>
    <col min="3853" max="3853" width="9.5703125" style="262" bestFit="1" customWidth="1"/>
    <col min="3854" max="4098" width="9.140625" style="262"/>
    <col min="4099" max="4099" width="37.5703125" style="262" customWidth="1"/>
    <col min="4100" max="4101" width="9.5703125" style="262" bestFit="1" customWidth="1"/>
    <col min="4102" max="4102" width="13.140625" style="262" customWidth="1"/>
    <col min="4103" max="4108" width="9.7109375" style="262" bestFit="1" customWidth="1"/>
    <col min="4109" max="4109" width="9.5703125" style="262" bestFit="1" customWidth="1"/>
    <col min="4110" max="4354" width="9.140625" style="262"/>
    <col min="4355" max="4355" width="37.5703125" style="262" customWidth="1"/>
    <col min="4356" max="4357" width="9.5703125" style="262" bestFit="1" customWidth="1"/>
    <col min="4358" max="4358" width="13.140625" style="262" customWidth="1"/>
    <col min="4359" max="4364" width="9.7109375" style="262" bestFit="1" customWidth="1"/>
    <col min="4365" max="4365" width="9.5703125" style="262" bestFit="1" customWidth="1"/>
    <col min="4366" max="4610" width="9.140625" style="262"/>
    <col min="4611" max="4611" width="37.5703125" style="262" customWidth="1"/>
    <col min="4612" max="4613" width="9.5703125" style="262" bestFit="1" customWidth="1"/>
    <col min="4614" max="4614" width="13.140625" style="262" customWidth="1"/>
    <col min="4615" max="4620" width="9.7109375" style="262" bestFit="1" customWidth="1"/>
    <col min="4621" max="4621" width="9.5703125" style="262" bestFit="1" customWidth="1"/>
    <col min="4622" max="4866" width="9.140625" style="262"/>
    <col min="4867" max="4867" width="37.5703125" style="262" customWidth="1"/>
    <col min="4868" max="4869" width="9.5703125" style="262" bestFit="1" customWidth="1"/>
    <col min="4870" max="4870" width="13.140625" style="262" customWidth="1"/>
    <col min="4871" max="4876" width="9.7109375" style="262" bestFit="1" customWidth="1"/>
    <col min="4877" max="4877" width="9.5703125" style="262" bestFit="1" customWidth="1"/>
    <col min="4878" max="5122" width="9.140625" style="262"/>
    <col min="5123" max="5123" width="37.5703125" style="262" customWidth="1"/>
    <col min="5124" max="5125" width="9.5703125" style="262" bestFit="1" customWidth="1"/>
    <col min="5126" max="5126" width="13.140625" style="262" customWidth="1"/>
    <col min="5127" max="5132" width="9.7109375" style="262" bestFit="1" customWidth="1"/>
    <col min="5133" max="5133" width="9.5703125" style="262" bestFit="1" customWidth="1"/>
    <col min="5134" max="5378" width="9.140625" style="262"/>
    <col min="5379" max="5379" width="37.5703125" style="262" customWidth="1"/>
    <col min="5380" max="5381" width="9.5703125" style="262" bestFit="1" customWidth="1"/>
    <col min="5382" max="5382" width="13.140625" style="262" customWidth="1"/>
    <col min="5383" max="5388" width="9.7109375" style="262" bestFit="1" customWidth="1"/>
    <col min="5389" max="5389" width="9.5703125" style="262" bestFit="1" customWidth="1"/>
    <col min="5390" max="5634" width="9.140625" style="262"/>
    <col min="5635" max="5635" width="37.5703125" style="262" customWidth="1"/>
    <col min="5636" max="5637" width="9.5703125" style="262" bestFit="1" customWidth="1"/>
    <col min="5638" max="5638" width="13.140625" style="262" customWidth="1"/>
    <col min="5639" max="5644" width="9.7109375" style="262" bestFit="1" customWidth="1"/>
    <col min="5645" max="5645" width="9.5703125" style="262" bestFit="1" customWidth="1"/>
    <col min="5646" max="5890" width="9.140625" style="262"/>
    <col min="5891" max="5891" width="37.5703125" style="262" customWidth="1"/>
    <col min="5892" max="5893" width="9.5703125" style="262" bestFit="1" customWidth="1"/>
    <col min="5894" max="5894" width="13.140625" style="262" customWidth="1"/>
    <col min="5895" max="5900" width="9.7109375" style="262" bestFit="1" customWidth="1"/>
    <col min="5901" max="5901" width="9.5703125" style="262" bestFit="1" customWidth="1"/>
    <col min="5902" max="6146" width="9.140625" style="262"/>
    <col min="6147" max="6147" width="37.5703125" style="262" customWidth="1"/>
    <col min="6148" max="6149" width="9.5703125" style="262" bestFit="1" customWidth="1"/>
    <col min="6150" max="6150" width="13.140625" style="262" customWidth="1"/>
    <col min="6151" max="6156" width="9.7109375" style="262" bestFit="1" customWidth="1"/>
    <col min="6157" max="6157" width="9.5703125" style="262" bestFit="1" customWidth="1"/>
    <col min="6158" max="6402" width="9.140625" style="262"/>
    <col min="6403" max="6403" width="37.5703125" style="262" customWidth="1"/>
    <col min="6404" max="6405" width="9.5703125" style="262" bestFit="1" customWidth="1"/>
    <col min="6406" max="6406" width="13.140625" style="262" customWidth="1"/>
    <col min="6407" max="6412" width="9.7109375" style="262" bestFit="1" customWidth="1"/>
    <col min="6413" max="6413" width="9.5703125" style="262" bestFit="1" customWidth="1"/>
    <col min="6414" max="6658" width="9.140625" style="262"/>
    <col min="6659" max="6659" width="37.5703125" style="262" customWidth="1"/>
    <col min="6660" max="6661" width="9.5703125" style="262" bestFit="1" customWidth="1"/>
    <col min="6662" max="6662" width="13.140625" style="262" customWidth="1"/>
    <col min="6663" max="6668" width="9.7109375" style="262" bestFit="1" customWidth="1"/>
    <col min="6669" max="6669" width="9.5703125" style="262" bestFit="1" customWidth="1"/>
    <col min="6670" max="6914" width="9.140625" style="262"/>
    <col min="6915" max="6915" width="37.5703125" style="262" customWidth="1"/>
    <col min="6916" max="6917" width="9.5703125" style="262" bestFit="1" customWidth="1"/>
    <col min="6918" max="6918" width="13.140625" style="262" customWidth="1"/>
    <col min="6919" max="6924" width="9.7109375" style="262" bestFit="1" customWidth="1"/>
    <col min="6925" max="6925" width="9.5703125" style="262" bestFit="1" customWidth="1"/>
    <col min="6926" max="7170" width="9.140625" style="262"/>
    <col min="7171" max="7171" width="37.5703125" style="262" customWidth="1"/>
    <col min="7172" max="7173" width="9.5703125" style="262" bestFit="1" customWidth="1"/>
    <col min="7174" max="7174" width="13.140625" style="262" customWidth="1"/>
    <col min="7175" max="7180" width="9.7109375" style="262" bestFit="1" customWidth="1"/>
    <col min="7181" max="7181" width="9.5703125" style="262" bestFit="1" customWidth="1"/>
    <col min="7182" max="7426" width="9.140625" style="262"/>
    <col min="7427" max="7427" width="37.5703125" style="262" customWidth="1"/>
    <col min="7428" max="7429" width="9.5703125" style="262" bestFit="1" customWidth="1"/>
    <col min="7430" max="7430" width="13.140625" style="262" customWidth="1"/>
    <col min="7431" max="7436" width="9.7109375" style="262" bestFit="1" customWidth="1"/>
    <col min="7437" max="7437" width="9.5703125" style="262" bestFit="1" customWidth="1"/>
    <col min="7438" max="7682" width="9.140625" style="262"/>
    <col min="7683" max="7683" width="37.5703125" style="262" customWidth="1"/>
    <col min="7684" max="7685" width="9.5703125" style="262" bestFit="1" customWidth="1"/>
    <col min="7686" max="7686" width="13.140625" style="262" customWidth="1"/>
    <col min="7687" max="7692" width="9.7109375" style="262" bestFit="1" customWidth="1"/>
    <col min="7693" max="7693" width="9.5703125" style="262" bestFit="1" customWidth="1"/>
    <col min="7694" max="7938" width="9.140625" style="262"/>
    <col min="7939" max="7939" width="37.5703125" style="262" customWidth="1"/>
    <col min="7940" max="7941" width="9.5703125" style="262" bestFit="1" customWidth="1"/>
    <col min="7942" max="7942" width="13.140625" style="262" customWidth="1"/>
    <col min="7943" max="7948" width="9.7109375" style="262" bestFit="1" customWidth="1"/>
    <col min="7949" max="7949" width="9.5703125" style="262" bestFit="1" customWidth="1"/>
    <col min="7950" max="8194" width="9.140625" style="262"/>
    <col min="8195" max="8195" width="37.5703125" style="262" customWidth="1"/>
    <col min="8196" max="8197" width="9.5703125" style="262" bestFit="1" customWidth="1"/>
    <col min="8198" max="8198" width="13.140625" style="262" customWidth="1"/>
    <col min="8199" max="8204" width="9.7109375" style="262" bestFit="1" customWidth="1"/>
    <col min="8205" max="8205" width="9.5703125" style="262" bestFit="1" customWidth="1"/>
    <col min="8206" max="8450" width="9.140625" style="262"/>
    <col min="8451" max="8451" width="37.5703125" style="262" customWidth="1"/>
    <col min="8452" max="8453" width="9.5703125" style="262" bestFit="1" customWidth="1"/>
    <col min="8454" max="8454" width="13.140625" style="262" customWidth="1"/>
    <col min="8455" max="8460" width="9.7109375" style="262" bestFit="1" customWidth="1"/>
    <col min="8461" max="8461" width="9.5703125" style="262" bestFit="1" customWidth="1"/>
    <col min="8462" max="8706" width="9.140625" style="262"/>
    <col min="8707" max="8707" width="37.5703125" style="262" customWidth="1"/>
    <col min="8708" max="8709" width="9.5703125" style="262" bestFit="1" customWidth="1"/>
    <col min="8710" max="8710" width="13.140625" style="262" customWidth="1"/>
    <col min="8711" max="8716" width="9.7109375" style="262" bestFit="1" customWidth="1"/>
    <col min="8717" max="8717" width="9.5703125" style="262" bestFit="1" customWidth="1"/>
    <col min="8718" max="8962" width="9.140625" style="262"/>
    <col min="8963" max="8963" width="37.5703125" style="262" customWidth="1"/>
    <col min="8964" max="8965" width="9.5703125" style="262" bestFit="1" customWidth="1"/>
    <col min="8966" max="8966" width="13.140625" style="262" customWidth="1"/>
    <col min="8967" max="8972" width="9.7109375" style="262" bestFit="1" customWidth="1"/>
    <col min="8973" max="8973" width="9.5703125" style="262" bestFit="1" customWidth="1"/>
    <col min="8974" max="9218" width="9.140625" style="262"/>
    <col min="9219" max="9219" width="37.5703125" style="262" customWidth="1"/>
    <col min="9220" max="9221" width="9.5703125" style="262" bestFit="1" customWidth="1"/>
    <col min="9222" max="9222" width="13.140625" style="262" customWidth="1"/>
    <col min="9223" max="9228" width="9.7109375" style="262" bestFit="1" customWidth="1"/>
    <col min="9229" max="9229" width="9.5703125" style="262" bestFit="1" customWidth="1"/>
    <col min="9230" max="9474" width="9.140625" style="262"/>
    <col min="9475" max="9475" width="37.5703125" style="262" customWidth="1"/>
    <col min="9476" max="9477" width="9.5703125" style="262" bestFit="1" customWidth="1"/>
    <col min="9478" max="9478" width="13.140625" style="262" customWidth="1"/>
    <col min="9479" max="9484" width="9.7109375" style="262" bestFit="1" customWidth="1"/>
    <col min="9485" max="9485" width="9.5703125" style="262" bestFit="1" customWidth="1"/>
    <col min="9486" max="9730" width="9.140625" style="262"/>
    <col min="9731" max="9731" width="37.5703125" style="262" customWidth="1"/>
    <col min="9732" max="9733" width="9.5703125" style="262" bestFit="1" customWidth="1"/>
    <col min="9734" max="9734" width="13.140625" style="262" customWidth="1"/>
    <col min="9735" max="9740" width="9.7109375" style="262" bestFit="1" customWidth="1"/>
    <col min="9741" max="9741" width="9.5703125" style="262" bestFit="1" customWidth="1"/>
    <col min="9742" max="9986" width="9.140625" style="262"/>
    <col min="9987" max="9987" width="37.5703125" style="262" customWidth="1"/>
    <col min="9988" max="9989" width="9.5703125" style="262" bestFit="1" customWidth="1"/>
    <col min="9990" max="9990" width="13.140625" style="262" customWidth="1"/>
    <col min="9991" max="9996" width="9.7109375" style="262" bestFit="1" customWidth="1"/>
    <col min="9997" max="9997" width="9.5703125" style="262" bestFit="1" customWidth="1"/>
    <col min="9998" max="10242" width="9.140625" style="262"/>
    <col min="10243" max="10243" width="37.5703125" style="262" customWidth="1"/>
    <col min="10244" max="10245" width="9.5703125" style="262" bestFit="1" customWidth="1"/>
    <col min="10246" max="10246" width="13.140625" style="262" customWidth="1"/>
    <col min="10247" max="10252" width="9.7109375" style="262" bestFit="1" customWidth="1"/>
    <col min="10253" max="10253" width="9.5703125" style="262" bestFit="1" customWidth="1"/>
    <col min="10254" max="10498" width="9.140625" style="262"/>
    <col min="10499" max="10499" width="37.5703125" style="262" customWidth="1"/>
    <col min="10500" max="10501" width="9.5703125" style="262" bestFit="1" customWidth="1"/>
    <col min="10502" max="10502" width="13.140625" style="262" customWidth="1"/>
    <col min="10503" max="10508" width="9.7109375" style="262" bestFit="1" customWidth="1"/>
    <col min="10509" max="10509" width="9.5703125" style="262" bestFit="1" customWidth="1"/>
    <col min="10510" max="10754" width="9.140625" style="262"/>
    <col min="10755" max="10755" width="37.5703125" style="262" customWidth="1"/>
    <col min="10756" max="10757" width="9.5703125" style="262" bestFit="1" customWidth="1"/>
    <col min="10758" max="10758" width="13.140625" style="262" customWidth="1"/>
    <col min="10759" max="10764" width="9.7109375" style="262" bestFit="1" customWidth="1"/>
    <col min="10765" max="10765" width="9.5703125" style="262" bestFit="1" customWidth="1"/>
    <col min="10766" max="11010" width="9.140625" style="262"/>
    <col min="11011" max="11011" width="37.5703125" style="262" customWidth="1"/>
    <col min="11012" max="11013" width="9.5703125" style="262" bestFit="1" customWidth="1"/>
    <col min="11014" max="11014" width="13.140625" style="262" customWidth="1"/>
    <col min="11015" max="11020" width="9.7109375" style="262" bestFit="1" customWidth="1"/>
    <col min="11021" max="11021" width="9.5703125" style="262" bestFit="1" customWidth="1"/>
    <col min="11022" max="11266" width="9.140625" style="262"/>
    <col min="11267" max="11267" width="37.5703125" style="262" customWidth="1"/>
    <col min="11268" max="11269" width="9.5703125" style="262" bestFit="1" customWidth="1"/>
    <col min="11270" max="11270" width="13.140625" style="262" customWidth="1"/>
    <col min="11271" max="11276" width="9.7109375" style="262" bestFit="1" customWidth="1"/>
    <col min="11277" max="11277" width="9.5703125" style="262" bestFit="1" customWidth="1"/>
    <col min="11278" max="11522" width="9.140625" style="262"/>
    <col min="11523" max="11523" width="37.5703125" style="262" customWidth="1"/>
    <col min="11524" max="11525" width="9.5703125" style="262" bestFit="1" customWidth="1"/>
    <col min="11526" max="11526" width="13.140625" style="262" customWidth="1"/>
    <col min="11527" max="11532" width="9.7109375" style="262" bestFit="1" customWidth="1"/>
    <col min="11533" max="11533" width="9.5703125" style="262" bestFit="1" customWidth="1"/>
    <col min="11534" max="11778" width="9.140625" style="262"/>
    <col min="11779" max="11779" width="37.5703125" style="262" customWidth="1"/>
    <col min="11780" max="11781" width="9.5703125" style="262" bestFit="1" customWidth="1"/>
    <col min="11782" max="11782" width="13.140625" style="262" customWidth="1"/>
    <col min="11783" max="11788" width="9.7109375" style="262" bestFit="1" customWidth="1"/>
    <col min="11789" max="11789" width="9.5703125" style="262" bestFit="1" customWidth="1"/>
    <col min="11790" max="12034" width="9.140625" style="262"/>
    <col min="12035" max="12035" width="37.5703125" style="262" customWidth="1"/>
    <col min="12036" max="12037" width="9.5703125" style="262" bestFit="1" customWidth="1"/>
    <col min="12038" max="12038" width="13.140625" style="262" customWidth="1"/>
    <col min="12039" max="12044" width="9.7109375" style="262" bestFit="1" customWidth="1"/>
    <col min="12045" max="12045" width="9.5703125" style="262" bestFit="1" customWidth="1"/>
    <col min="12046" max="12290" width="9.140625" style="262"/>
    <col min="12291" max="12291" width="37.5703125" style="262" customWidth="1"/>
    <col min="12292" max="12293" width="9.5703125" style="262" bestFit="1" customWidth="1"/>
    <col min="12294" max="12294" width="13.140625" style="262" customWidth="1"/>
    <col min="12295" max="12300" width="9.7109375" style="262" bestFit="1" customWidth="1"/>
    <col min="12301" max="12301" width="9.5703125" style="262" bestFit="1" customWidth="1"/>
    <col min="12302" max="12546" width="9.140625" style="262"/>
    <col min="12547" max="12547" width="37.5703125" style="262" customWidth="1"/>
    <col min="12548" max="12549" width="9.5703125" style="262" bestFit="1" customWidth="1"/>
    <col min="12550" max="12550" width="13.140625" style="262" customWidth="1"/>
    <col min="12551" max="12556" width="9.7109375" style="262" bestFit="1" customWidth="1"/>
    <col min="12557" max="12557" width="9.5703125" style="262" bestFit="1" customWidth="1"/>
    <col min="12558" max="12802" width="9.140625" style="262"/>
    <col min="12803" max="12803" width="37.5703125" style="262" customWidth="1"/>
    <col min="12804" max="12805" width="9.5703125" style="262" bestFit="1" customWidth="1"/>
    <col min="12806" max="12806" width="13.140625" style="262" customWidth="1"/>
    <col min="12807" max="12812" width="9.7109375" style="262" bestFit="1" customWidth="1"/>
    <col min="12813" max="12813" width="9.5703125" style="262" bestFit="1" customWidth="1"/>
    <col min="12814" max="13058" width="9.140625" style="262"/>
    <col min="13059" max="13059" width="37.5703125" style="262" customWidth="1"/>
    <col min="13060" max="13061" width="9.5703125" style="262" bestFit="1" customWidth="1"/>
    <col min="13062" max="13062" width="13.140625" style="262" customWidth="1"/>
    <col min="13063" max="13068" width="9.7109375" style="262" bestFit="1" customWidth="1"/>
    <col min="13069" max="13069" width="9.5703125" style="262" bestFit="1" customWidth="1"/>
    <col min="13070" max="13314" width="9.140625" style="262"/>
    <col min="13315" max="13315" width="37.5703125" style="262" customWidth="1"/>
    <col min="13316" max="13317" width="9.5703125" style="262" bestFit="1" customWidth="1"/>
    <col min="13318" max="13318" width="13.140625" style="262" customWidth="1"/>
    <col min="13319" max="13324" width="9.7109375" style="262" bestFit="1" customWidth="1"/>
    <col min="13325" max="13325" width="9.5703125" style="262" bestFit="1" customWidth="1"/>
    <col min="13326" max="13570" width="9.140625" style="262"/>
    <col min="13571" max="13571" width="37.5703125" style="262" customWidth="1"/>
    <col min="13572" max="13573" width="9.5703125" style="262" bestFit="1" customWidth="1"/>
    <col min="13574" max="13574" width="13.140625" style="262" customWidth="1"/>
    <col min="13575" max="13580" width="9.7109375" style="262" bestFit="1" customWidth="1"/>
    <col min="13581" max="13581" width="9.5703125" style="262" bestFit="1" customWidth="1"/>
    <col min="13582" max="13826" width="9.140625" style="262"/>
    <col min="13827" max="13827" width="37.5703125" style="262" customWidth="1"/>
    <col min="13828" max="13829" width="9.5703125" style="262" bestFit="1" customWidth="1"/>
    <col min="13830" max="13830" width="13.140625" style="262" customWidth="1"/>
    <col min="13831" max="13836" width="9.7109375" style="262" bestFit="1" customWidth="1"/>
    <col min="13837" max="13837" width="9.5703125" style="262" bestFit="1" customWidth="1"/>
    <col min="13838" max="14082" width="9.140625" style="262"/>
    <col min="14083" max="14083" width="37.5703125" style="262" customWidth="1"/>
    <col min="14084" max="14085" width="9.5703125" style="262" bestFit="1" customWidth="1"/>
    <col min="14086" max="14086" width="13.140625" style="262" customWidth="1"/>
    <col min="14087" max="14092" width="9.7109375" style="262" bestFit="1" customWidth="1"/>
    <col min="14093" max="14093" width="9.5703125" style="262" bestFit="1" customWidth="1"/>
    <col min="14094" max="14338" width="9.140625" style="262"/>
    <col min="14339" max="14339" width="37.5703125" style="262" customWidth="1"/>
    <col min="14340" max="14341" width="9.5703125" style="262" bestFit="1" customWidth="1"/>
    <col min="14342" max="14342" width="13.140625" style="262" customWidth="1"/>
    <col min="14343" max="14348" width="9.7109375" style="262" bestFit="1" customWidth="1"/>
    <col min="14349" max="14349" width="9.5703125" style="262" bestFit="1" customWidth="1"/>
    <col min="14350" max="14594" width="9.140625" style="262"/>
    <col min="14595" max="14595" width="37.5703125" style="262" customWidth="1"/>
    <col min="14596" max="14597" width="9.5703125" style="262" bestFit="1" customWidth="1"/>
    <col min="14598" max="14598" width="13.140625" style="262" customWidth="1"/>
    <col min="14599" max="14604" width="9.7109375" style="262" bestFit="1" customWidth="1"/>
    <col min="14605" max="14605" width="9.5703125" style="262" bestFit="1" customWidth="1"/>
    <col min="14606" max="14850" width="9.140625" style="262"/>
    <col min="14851" max="14851" width="37.5703125" style="262" customWidth="1"/>
    <col min="14852" max="14853" width="9.5703125" style="262" bestFit="1" customWidth="1"/>
    <col min="14854" max="14854" width="13.140625" style="262" customWidth="1"/>
    <col min="14855" max="14860" width="9.7109375" style="262" bestFit="1" customWidth="1"/>
    <col min="14861" max="14861" width="9.5703125" style="262" bestFit="1" customWidth="1"/>
    <col min="14862" max="15106" width="9.140625" style="262"/>
    <col min="15107" max="15107" width="37.5703125" style="262" customWidth="1"/>
    <col min="15108" max="15109" width="9.5703125" style="262" bestFit="1" customWidth="1"/>
    <col min="15110" max="15110" width="13.140625" style="262" customWidth="1"/>
    <col min="15111" max="15116" width="9.7109375" style="262" bestFit="1" customWidth="1"/>
    <col min="15117" max="15117" width="9.5703125" style="262" bestFit="1" customWidth="1"/>
    <col min="15118" max="15362" width="9.140625" style="262"/>
    <col min="15363" max="15363" width="37.5703125" style="262" customWidth="1"/>
    <col min="15364" max="15365" width="9.5703125" style="262" bestFit="1" customWidth="1"/>
    <col min="15366" max="15366" width="13.140625" style="262" customWidth="1"/>
    <col min="15367" max="15372" width="9.7109375" style="262" bestFit="1" customWidth="1"/>
    <col min="15373" max="15373" width="9.5703125" style="262" bestFit="1" customWidth="1"/>
    <col min="15374" max="15618" width="9.140625" style="262"/>
    <col min="15619" max="15619" width="37.5703125" style="262" customWidth="1"/>
    <col min="15620" max="15621" width="9.5703125" style="262" bestFit="1" customWidth="1"/>
    <col min="15622" max="15622" width="13.140625" style="262" customWidth="1"/>
    <col min="15623" max="15628" width="9.7109375" style="262" bestFit="1" customWidth="1"/>
    <col min="15629" max="15629" width="9.5703125" style="262" bestFit="1" customWidth="1"/>
    <col min="15630" max="15874" width="9.140625" style="262"/>
    <col min="15875" max="15875" width="37.5703125" style="262" customWidth="1"/>
    <col min="15876" max="15877" width="9.5703125" style="262" bestFit="1" customWidth="1"/>
    <col min="15878" max="15878" width="13.140625" style="262" customWidth="1"/>
    <col min="15879" max="15884" width="9.7109375" style="262" bestFit="1" customWidth="1"/>
    <col min="15885" max="15885" width="9.5703125" style="262" bestFit="1" customWidth="1"/>
    <col min="15886" max="16130" width="9.140625" style="262"/>
    <col min="16131" max="16131" width="37.5703125" style="262" customWidth="1"/>
    <col min="16132" max="16133" width="9.5703125" style="262" bestFit="1" customWidth="1"/>
    <col min="16134" max="16134" width="13.140625" style="262" customWidth="1"/>
    <col min="16135" max="16140" width="9.7109375" style="262" bestFit="1" customWidth="1"/>
    <col min="16141" max="16141" width="9.5703125" style="262" bestFit="1" customWidth="1"/>
    <col min="16142" max="16384" width="9.140625" style="262"/>
  </cols>
  <sheetData>
    <row r="1" spans="1:22" s="258" customFormat="1" ht="32.25">
      <c r="A1" s="261" t="str">
        <f>Index!A1</f>
        <v>Alibaba IPO</v>
      </c>
      <c r="B1" s="257"/>
      <c r="C1" s="257"/>
      <c r="D1" s="257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  <c r="P1" s="257"/>
    </row>
    <row r="2" spans="1:22" s="258" customFormat="1" ht="23.25">
      <c r="A2" s="277" t="s">
        <v>36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</row>
    <row r="3" spans="1:22" s="266" customFormat="1" ht="20.25">
      <c r="A3" s="1"/>
      <c r="B3" s="3"/>
      <c r="C3" s="3"/>
      <c r="D3" s="3"/>
      <c r="E3" s="3"/>
      <c r="F3" s="3"/>
      <c r="G3" s="3"/>
      <c r="H3" s="3"/>
      <c r="I3" s="8"/>
      <c r="J3" s="8"/>
      <c r="K3" s="8"/>
      <c r="L3" s="8"/>
      <c r="M3" s="8"/>
      <c r="N3" s="8"/>
      <c r="O3" s="8"/>
      <c r="P3" s="3"/>
      <c r="S3" s="262"/>
      <c r="T3" s="278"/>
      <c r="U3" s="278"/>
      <c r="V3" s="262"/>
    </row>
    <row r="4" spans="1:22" s="266" customFormat="1" ht="19.5">
      <c r="A4" s="3"/>
      <c r="B4" s="403"/>
      <c r="C4" s="422" t="s">
        <v>101</v>
      </c>
      <c r="D4" s="422"/>
      <c r="E4" s="422"/>
      <c r="F4" s="422"/>
      <c r="G4" s="422"/>
      <c r="H4" s="422" t="s">
        <v>102</v>
      </c>
      <c r="I4" s="422"/>
      <c r="J4" s="422"/>
      <c r="K4" s="422"/>
      <c r="L4" s="422"/>
      <c r="M4" s="422"/>
      <c r="N4" s="422"/>
      <c r="O4" s="422"/>
      <c r="P4" s="3"/>
      <c r="S4" s="262"/>
      <c r="T4" s="278"/>
      <c r="U4" s="278"/>
      <c r="V4" s="262"/>
    </row>
    <row r="5" spans="1:22" s="269" customFormat="1" ht="15.75" thickBot="1">
      <c r="A5" s="8"/>
      <c r="B5" s="165" t="s">
        <v>217</v>
      </c>
      <c r="C5" s="11">
        <f>BS!C4</f>
        <v>40268</v>
      </c>
      <c r="D5" s="11">
        <f>BS!D4</f>
        <v>40633</v>
      </c>
      <c r="E5" s="11">
        <f>BS!E4</f>
        <v>40999</v>
      </c>
      <c r="F5" s="11">
        <f>BS!F4</f>
        <v>41364</v>
      </c>
      <c r="G5" s="11">
        <f>BS!G4</f>
        <v>41729</v>
      </c>
      <c r="H5" s="11">
        <f>BS!H4</f>
        <v>42094</v>
      </c>
      <c r="I5" s="11">
        <f>BS!I4</f>
        <v>42460</v>
      </c>
      <c r="J5" s="11">
        <f>BS!J4</f>
        <v>42825</v>
      </c>
      <c r="K5" s="11">
        <f>BS!K4</f>
        <v>43190</v>
      </c>
      <c r="L5" s="11">
        <f>BS!L4</f>
        <v>43555</v>
      </c>
      <c r="M5" s="11">
        <f>BS!M4</f>
        <v>43921</v>
      </c>
      <c r="N5" s="11">
        <f>BS!N4</f>
        <v>44286</v>
      </c>
      <c r="O5" s="11">
        <f>BS!O4</f>
        <v>44651</v>
      </c>
      <c r="P5" s="8"/>
      <c r="S5" s="262"/>
      <c r="T5" s="278"/>
      <c r="U5" s="278"/>
      <c r="V5" s="262"/>
    </row>
    <row r="6" spans="1:22">
      <c r="A6"/>
      <c r="B6" s="3" t="s">
        <v>2</v>
      </c>
      <c r="C6" s="50">
        <f>IS!C12</f>
        <v>6670</v>
      </c>
      <c r="D6" s="50">
        <f>IS!D12</f>
        <v>11903</v>
      </c>
      <c r="E6" s="50">
        <f>IS!E12</f>
        <v>20025</v>
      </c>
      <c r="F6" s="50">
        <f>IS!F12</f>
        <v>34517</v>
      </c>
      <c r="G6" s="50">
        <f>IS!G12</f>
        <v>55149.91</v>
      </c>
      <c r="H6" s="50">
        <f>IS!H12</f>
        <v>68330.66</v>
      </c>
      <c r="I6" s="50">
        <f>IS!I12</f>
        <v>86510.946400000001</v>
      </c>
      <c r="J6" s="50">
        <f>IS!J12</f>
        <v>110040.31599200002</v>
      </c>
      <c r="K6" s="50">
        <f>IS!K12</f>
        <v>140582.54571976003</v>
      </c>
      <c r="L6" s="50">
        <f>IS!L12</f>
        <v>177913.58213439761</v>
      </c>
      <c r="M6" s="50">
        <f>IS!M12</f>
        <v>205303.21036830725</v>
      </c>
      <c r="N6" s="50">
        <f>IS!N12</f>
        <v>226359.03360985673</v>
      </c>
      <c r="O6" s="50">
        <f>IS!O12</f>
        <v>238802.31400128704</v>
      </c>
      <c r="P6"/>
      <c r="T6" s="278"/>
      <c r="U6" s="278"/>
    </row>
    <row r="7" spans="1:22">
      <c r="A7"/>
      <c r="B7" s="3" t="s">
        <v>10</v>
      </c>
      <c r="C7" s="70"/>
      <c r="D7" s="70"/>
      <c r="E7" s="70">
        <f>-(CF!E39+CF!E40)</f>
        <v>2168</v>
      </c>
      <c r="F7" s="70">
        <f>-(CF!F39+CF!F40)</f>
        <v>2503</v>
      </c>
      <c r="G7" s="70">
        <f>-(CF!G39+CF!G40)</f>
        <v>4336</v>
      </c>
      <c r="H7" s="70">
        <f t="shared" ref="H7:O7" si="0">H6*H8</f>
        <v>6833.0660000000007</v>
      </c>
      <c r="I7" s="70">
        <f t="shared" si="0"/>
        <v>8651.0946400000012</v>
      </c>
      <c r="J7" s="70">
        <f t="shared" si="0"/>
        <v>11004.031599200003</v>
      </c>
      <c r="K7" s="70">
        <f t="shared" si="0"/>
        <v>14058.254571976004</v>
      </c>
      <c r="L7" s="70">
        <f t="shared" si="0"/>
        <v>17791.358213439762</v>
      </c>
      <c r="M7" s="70">
        <f t="shared" si="0"/>
        <v>20530.321036830726</v>
      </c>
      <c r="N7" s="70">
        <f t="shared" si="0"/>
        <v>22635.903360985674</v>
      </c>
      <c r="O7" s="70">
        <f t="shared" si="0"/>
        <v>23880.231400128705</v>
      </c>
      <c r="P7"/>
      <c r="T7" s="279"/>
      <c r="U7" s="279"/>
    </row>
    <row r="8" spans="1:22">
      <c r="A8"/>
      <c r="B8" s="25" t="s">
        <v>11</v>
      </c>
      <c r="C8" s="27"/>
      <c r="D8" s="27"/>
      <c r="E8" s="364">
        <f>-E7/E6</f>
        <v>-0.10826466916354557</v>
      </c>
      <c r="F8" s="364">
        <f>-F7/F6</f>
        <v>-7.2514992612335946E-2</v>
      </c>
      <c r="G8" s="364">
        <f>-G7/G6</f>
        <v>-7.862206846756413E-2</v>
      </c>
      <c r="H8" s="363">
        <v>0.1</v>
      </c>
      <c r="I8" s="363">
        <v>0.1</v>
      </c>
      <c r="J8" s="363">
        <v>0.1</v>
      </c>
      <c r="K8" s="363">
        <v>0.1</v>
      </c>
      <c r="L8" s="363">
        <v>0.1</v>
      </c>
      <c r="M8" s="363">
        <v>0.1</v>
      </c>
      <c r="N8" s="363">
        <v>0.1</v>
      </c>
      <c r="O8" s="363">
        <v>0.1</v>
      </c>
      <c r="P8"/>
      <c r="T8" s="279"/>
      <c r="U8" s="279"/>
    </row>
    <row r="9" spans="1:22">
      <c r="A9"/>
      <c r="B9" s="3"/>
      <c r="C9" s="3"/>
      <c r="D9" s="3"/>
      <c r="E9"/>
      <c r="F9"/>
      <c r="G9"/>
      <c r="H9"/>
      <c r="I9"/>
      <c r="J9"/>
      <c r="K9"/>
      <c r="L9"/>
      <c r="M9"/>
      <c r="N9"/>
      <c r="O9"/>
      <c r="P9"/>
      <c r="T9" s="279"/>
      <c r="U9" s="279"/>
    </row>
    <row r="10" spans="1:22">
      <c r="A10"/>
      <c r="B10" s="3" t="s">
        <v>12</v>
      </c>
      <c r="C10" s="99"/>
      <c r="D10" s="60"/>
      <c r="E10" s="60"/>
      <c r="F10" s="60"/>
      <c r="G10" s="60"/>
      <c r="H10" s="60">
        <f t="shared" ref="H10:O10" si="1">G14</f>
        <v>5973</v>
      </c>
      <c r="I10" s="60">
        <f t="shared" si="1"/>
        <v>10115.204951130485</v>
      </c>
      <c r="J10" s="60">
        <f t="shared" si="1"/>
        <v>13696.953380517401</v>
      </c>
      <c r="K10" s="60">
        <f t="shared" si="1"/>
        <v>16612.461482131024</v>
      </c>
      <c r="L10" s="60">
        <f t="shared" si="1"/>
        <v>18732.434267167664</v>
      </c>
      <c r="M10" s="60">
        <f t="shared" si="1"/>
        <v>19693.167273922354</v>
      </c>
      <c r="N10" s="60">
        <f t="shared" si="1"/>
        <v>17506.360917155485</v>
      </c>
      <c r="O10" s="60">
        <f t="shared" si="1"/>
        <v>10794.475616830219</v>
      </c>
      <c r="P10"/>
      <c r="T10" s="279"/>
      <c r="U10" s="279"/>
    </row>
    <row r="11" spans="1:22">
      <c r="A11"/>
      <c r="B11" s="3" t="s">
        <v>10</v>
      </c>
      <c r="C11" s="100"/>
      <c r="D11" s="28"/>
      <c r="E11" s="28"/>
      <c r="F11" s="28"/>
      <c r="G11" s="28"/>
      <c r="H11" s="28">
        <f t="shared" ref="H11:O11" si="2">H7</f>
        <v>6833.0660000000007</v>
      </c>
      <c r="I11" s="28">
        <f t="shared" si="2"/>
        <v>8651.0946400000012</v>
      </c>
      <c r="J11" s="28">
        <f t="shared" si="2"/>
        <v>11004.031599200003</v>
      </c>
      <c r="K11" s="28">
        <f t="shared" si="2"/>
        <v>14058.254571976004</v>
      </c>
      <c r="L11" s="28">
        <f t="shared" si="2"/>
        <v>17791.358213439762</v>
      </c>
      <c r="M11" s="28">
        <f t="shared" si="2"/>
        <v>20530.321036830726</v>
      </c>
      <c r="N11" s="28">
        <f t="shared" si="2"/>
        <v>22635.903360985674</v>
      </c>
      <c r="O11" s="28">
        <f t="shared" si="2"/>
        <v>23880.231400128705</v>
      </c>
      <c r="P11"/>
      <c r="T11" s="279"/>
      <c r="U11" s="279"/>
    </row>
    <row r="12" spans="1:22">
      <c r="A12"/>
      <c r="B12" s="3" t="s">
        <v>13</v>
      </c>
      <c r="C12" s="55"/>
      <c r="D12" s="29"/>
      <c r="E12" s="29"/>
      <c r="F12" s="29"/>
      <c r="G12" s="29"/>
      <c r="H12" s="29">
        <f t="shared" ref="H12:O12" si="3">-H86</f>
        <v>-2690.8610488695163</v>
      </c>
      <c r="I12" s="29">
        <f t="shared" si="3"/>
        <v>-5069.3462106130846</v>
      </c>
      <c r="J12" s="29">
        <f t="shared" si="3"/>
        <v>-8088.5234975863787</v>
      </c>
      <c r="K12" s="29">
        <f t="shared" si="3"/>
        <v>-11938.28178693936</v>
      </c>
      <c r="L12" s="29">
        <f t="shared" si="3"/>
        <v>-16830.625206685076</v>
      </c>
      <c r="M12" s="29">
        <f t="shared" si="3"/>
        <v>-22717.127393597591</v>
      </c>
      <c r="N12" s="29">
        <f t="shared" si="3"/>
        <v>-29347.788661310937</v>
      </c>
      <c r="O12" s="29">
        <f t="shared" si="3"/>
        <v>-36493.021708374879</v>
      </c>
      <c r="P12"/>
    </row>
    <row r="13" spans="1:22">
      <c r="A13"/>
      <c r="B13" s="3" t="s">
        <v>14</v>
      </c>
      <c r="C13" s="101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/>
      <c r="T13" s="279"/>
      <c r="U13" s="279"/>
    </row>
    <row r="14" spans="1:22" ht="15.75" thickBot="1">
      <c r="A14"/>
      <c r="B14" s="85" t="s">
        <v>15</v>
      </c>
      <c r="C14" s="86"/>
      <c r="D14" s="86"/>
      <c r="E14" s="86"/>
      <c r="F14" s="86"/>
      <c r="G14" s="86">
        <f>BS!G19</f>
        <v>5973</v>
      </c>
      <c r="H14" s="86">
        <f t="shared" ref="H14:O14" si="4">SUM(H10:H13)</f>
        <v>10115.204951130485</v>
      </c>
      <c r="I14" s="86">
        <f t="shared" si="4"/>
        <v>13696.953380517401</v>
      </c>
      <c r="J14" s="86">
        <f t="shared" si="4"/>
        <v>16612.461482131024</v>
      </c>
      <c r="K14" s="86">
        <f t="shared" si="4"/>
        <v>18732.434267167664</v>
      </c>
      <c r="L14" s="86">
        <f t="shared" si="4"/>
        <v>19693.167273922354</v>
      </c>
      <c r="M14" s="86">
        <f t="shared" si="4"/>
        <v>17506.360917155485</v>
      </c>
      <c r="N14" s="86">
        <f t="shared" si="4"/>
        <v>10794.475616830219</v>
      </c>
      <c r="O14" s="86">
        <f t="shared" si="4"/>
        <v>-1818.3146914159515</v>
      </c>
      <c r="P14"/>
      <c r="T14" s="279"/>
      <c r="U14" s="279"/>
    </row>
    <row r="15" spans="1:22">
      <c r="A15"/>
      <c r="B15" s="3"/>
      <c r="C15" s="3"/>
      <c r="D15" s="3"/>
      <c r="E15" s="3"/>
      <c r="F15" s="3"/>
      <c r="G15"/>
      <c r="H15"/>
      <c r="I15"/>
      <c r="J15"/>
      <c r="K15"/>
      <c r="L15"/>
      <c r="M15"/>
      <c r="N15"/>
      <c r="O15"/>
      <c r="P15"/>
    </row>
    <row r="16" spans="1:22">
      <c r="A16"/>
      <c r="B16" s="3" t="s">
        <v>305</v>
      </c>
      <c r="C16" s="3"/>
      <c r="D16" s="3"/>
      <c r="E16" s="103" t="s">
        <v>74</v>
      </c>
      <c r="F16" s="3"/>
      <c r="G16"/>
      <c r="H16"/>
      <c r="I16"/>
      <c r="J16"/>
      <c r="K16"/>
      <c r="L16"/>
      <c r="M16"/>
      <c r="N16"/>
      <c r="O16"/>
      <c r="P16"/>
      <c r="T16" s="279"/>
      <c r="U16" s="279"/>
    </row>
    <row r="17" spans="1:22">
      <c r="A17"/>
      <c r="B17" s="31" t="s">
        <v>304</v>
      </c>
      <c r="C17" s="89"/>
      <c r="D17" s="89"/>
      <c r="E17" s="32">
        <v>2013</v>
      </c>
      <c r="F17" s="362">
        <v>2014</v>
      </c>
      <c r="G17" s="32" t="s">
        <v>21</v>
      </c>
      <c r="H17" s="33" t="s">
        <v>16</v>
      </c>
      <c r="I17" s="3"/>
      <c r="J17" s="3"/>
      <c r="K17" s="3"/>
      <c r="L17" s="3"/>
      <c r="M17" s="3"/>
      <c r="N17" s="3"/>
      <c r="O17" s="3"/>
      <c r="P17" s="3"/>
    </row>
    <row r="18" spans="1:22">
      <c r="A18"/>
      <c r="B18" s="3" t="s">
        <v>306</v>
      </c>
      <c r="C18"/>
      <c r="D18"/>
      <c r="E18" s="97">
        <v>3640</v>
      </c>
      <c r="F18" s="97">
        <v>5772</v>
      </c>
      <c r="G18" s="43">
        <v>4</v>
      </c>
      <c r="H18" s="126">
        <f>F18/$F$23</f>
        <v>0.61365086115245593</v>
      </c>
      <c r="I18" s="3"/>
      <c r="J18" s="3"/>
      <c r="K18" s="3"/>
      <c r="L18" s="3"/>
      <c r="M18" s="3"/>
      <c r="N18" s="3"/>
      <c r="O18" s="3"/>
      <c r="P18" s="3"/>
    </row>
    <row r="19" spans="1:22">
      <c r="A19"/>
      <c r="B19" s="3" t="s">
        <v>307</v>
      </c>
      <c r="C19"/>
      <c r="D19"/>
      <c r="E19" s="97">
        <v>242</v>
      </c>
      <c r="F19" s="97">
        <v>267</v>
      </c>
      <c r="G19" s="3">
        <v>4</v>
      </c>
      <c r="H19" s="126">
        <f>F19/$F$23</f>
        <v>2.8386136508611524E-2</v>
      </c>
      <c r="I19" s="3"/>
      <c r="J19" s="3"/>
      <c r="K19" s="3"/>
      <c r="L19" s="3"/>
      <c r="M19" s="3"/>
      <c r="N19" s="3"/>
      <c r="O19" s="3"/>
      <c r="P19" s="3"/>
    </row>
    <row r="20" spans="1:22">
      <c r="A20"/>
      <c r="B20" s="3" t="s">
        <v>318</v>
      </c>
      <c r="C20"/>
      <c r="D20" s="74"/>
      <c r="E20" s="97">
        <v>892</v>
      </c>
      <c r="F20" s="97">
        <v>2630</v>
      </c>
      <c r="G20" s="3">
        <v>20</v>
      </c>
      <c r="H20" s="126">
        <f>F20/$F$23</f>
        <v>0.27960876036572402</v>
      </c>
      <c r="I20" s="3" t="s">
        <v>17</v>
      </c>
      <c r="J20" s="3"/>
      <c r="K20" s="3"/>
      <c r="L20" s="3"/>
      <c r="M20" s="3"/>
      <c r="N20" s="3"/>
      <c r="O20" s="3"/>
      <c r="P20" s="3"/>
    </row>
    <row r="21" spans="1:22">
      <c r="A21"/>
      <c r="B21" s="3" t="s">
        <v>71</v>
      </c>
      <c r="C21"/>
      <c r="D21" s="74"/>
      <c r="E21" s="97">
        <v>1720</v>
      </c>
      <c r="F21" s="97">
        <v>737</v>
      </c>
      <c r="G21" s="3"/>
      <c r="H21" s="126">
        <f>F21/$F$23</f>
        <v>7.8354241973208588E-2</v>
      </c>
      <c r="I21" s="3" t="s">
        <v>17</v>
      </c>
      <c r="J21" s="3"/>
      <c r="K21" s="3"/>
      <c r="L21" s="3"/>
      <c r="M21" s="3"/>
      <c r="N21" s="3"/>
      <c r="O21" s="3"/>
      <c r="P21" s="3"/>
    </row>
    <row r="22" spans="1:22">
      <c r="A22"/>
      <c r="B22"/>
      <c r="C22"/>
      <c r="D22" s="74"/>
      <c r="E22" s="97"/>
      <c r="F22" s="97"/>
      <c r="G22" s="3"/>
      <c r="H22" s="126"/>
      <c r="I22" s="3" t="s">
        <v>17</v>
      </c>
      <c r="J22" s="3"/>
      <c r="K22" s="3"/>
      <c r="L22" s="3"/>
      <c r="M22" s="3"/>
      <c r="N22" s="3"/>
      <c r="O22" s="3"/>
      <c r="P22" s="3"/>
    </row>
    <row r="23" spans="1:22" ht="15.75" thickBot="1">
      <c r="A23"/>
      <c r="B23" s="35" t="s">
        <v>18</v>
      </c>
      <c r="C23" s="105"/>
      <c r="D23" s="36"/>
      <c r="E23" s="98">
        <f>SUM(E18:E22)</f>
        <v>6494</v>
      </c>
      <c r="F23" s="98">
        <f>SUM(F18:F22)</f>
        <v>9406</v>
      </c>
      <c r="G23" s="37"/>
      <c r="H23" s="38"/>
      <c r="I23" s="3"/>
      <c r="J23" s="3"/>
      <c r="K23" s="3"/>
      <c r="L23" s="3"/>
      <c r="M23" s="3"/>
      <c r="N23" s="3"/>
      <c r="O23" s="3"/>
      <c r="P23" s="3"/>
    </row>
    <row r="24" spans="1:22" ht="15.75" thickTop="1">
      <c r="A24"/>
      <c r="B24" s="3"/>
      <c r="C24" s="3"/>
      <c r="D24" s="3"/>
      <c r="E24" s="3"/>
      <c r="F24" s="3"/>
      <c r="G24"/>
      <c r="H24"/>
      <c r="I24"/>
      <c r="J24"/>
      <c r="K24"/>
      <c r="L24"/>
      <c r="M24"/>
      <c r="N24"/>
      <c r="O24"/>
      <c r="P24"/>
    </row>
    <row r="25" spans="1:22">
      <c r="A25"/>
      <c r="B25" s="39"/>
      <c r="C25" s="40"/>
      <c r="D25" s="40"/>
      <c r="E25" s="40"/>
      <c r="F25" s="40"/>
      <c r="G25" s="17"/>
      <c r="H25" s="17"/>
      <c r="I25"/>
      <c r="J25"/>
      <c r="K25"/>
      <c r="L25"/>
      <c r="M25"/>
      <c r="N25"/>
      <c r="O25"/>
      <c r="P25"/>
      <c r="V25" s="280"/>
    </row>
    <row r="26" spans="1:22">
      <c r="A26"/>
      <c r="B26" s="41" t="s">
        <v>19</v>
      </c>
      <c r="C26" s="42"/>
      <c r="D26" s="42"/>
      <c r="E26" s="42"/>
      <c r="F26" s="42"/>
      <c r="G26" s="18"/>
      <c r="H26" s="18"/>
      <c r="I26"/>
      <c r="J26"/>
      <c r="K26"/>
      <c r="L26"/>
      <c r="M26"/>
      <c r="N26"/>
      <c r="O26"/>
      <c r="P26"/>
      <c r="V26" s="281"/>
    </row>
    <row r="27" spans="1:22" ht="15.75" thickBot="1">
      <c r="A27"/>
      <c r="B27" s="3" t="s">
        <v>20</v>
      </c>
      <c r="C27" s="3"/>
      <c r="D27" s="3"/>
      <c r="E27" s="3"/>
      <c r="F27" s="3"/>
      <c r="G27"/>
      <c r="H27"/>
      <c r="I27"/>
      <c r="J27"/>
      <c r="K27"/>
      <c r="L27"/>
      <c r="M27"/>
      <c r="N27"/>
      <c r="O27"/>
      <c r="P27"/>
    </row>
    <row r="28" spans="1:22">
      <c r="A28"/>
      <c r="B28" s="78" t="s">
        <v>306</v>
      </c>
      <c r="C28" s="79"/>
      <c r="D28" s="79"/>
      <c r="E28" s="79"/>
      <c r="F28" s="127"/>
      <c r="G28" s="127"/>
      <c r="H28" s="127">
        <f t="shared" ref="H28:L31" si="5">H$7*$H18</f>
        <v>4193.1168352115683</v>
      </c>
      <c r="I28" s="127">
        <f t="shared" si="5"/>
        <v>5308.7516757473968</v>
      </c>
      <c r="J28" s="127">
        <f t="shared" si="5"/>
        <v>6752.6334669979187</v>
      </c>
      <c r="K28" s="127">
        <f t="shared" si="5"/>
        <v>8626.8600243935252</v>
      </c>
      <c r="L28" s="128">
        <f t="shared" si="5"/>
        <v>10917.682288749129</v>
      </c>
      <c r="M28" s="128">
        <f t="shared" ref="M28:N28" si="6">M$7*$H18</f>
        <v>12598.449183987557</v>
      </c>
      <c r="N28" s="128">
        <f t="shared" si="6"/>
        <v>13890.541590432631</v>
      </c>
      <c r="O28" s="128">
        <f t="shared" ref="O28" si="7">O$7*$H18</f>
        <v>14654.124563208898</v>
      </c>
      <c r="P28"/>
    </row>
    <row r="29" spans="1:22">
      <c r="A29"/>
      <c r="B29" s="80" t="s">
        <v>307</v>
      </c>
      <c r="C29" s="44"/>
      <c r="D29" s="44"/>
      <c r="E29" s="44"/>
      <c r="F29" s="104"/>
      <c r="G29" s="104"/>
      <c r="H29" s="104">
        <f t="shared" si="5"/>
        <v>193.96434424835212</v>
      </c>
      <c r="I29" s="104">
        <f t="shared" si="5"/>
        <v>245.5711533999575</v>
      </c>
      <c r="J29" s="104">
        <f t="shared" si="5"/>
        <v>312.36194311996604</v>
      </c>
      <c r="K29" s="104">
        <f t="shared" si="5"/>
        <v>399.05953335292293</v>
      </c>
      <c r="L29" s="129">
        <f t="shared" si="5"/>
        <v>505.0279229203079</v>
      </c>
      <c r="M29" s="129">
        <f t="shared" ref="M29:N29" si="8">M$7*$H19</f>
        <v>582.7764955170959</v>
      </c>
      <c r="N29" s="129">
        <f t="shared" si="8"/>
        <v>642.54584280067775</v>
      </c>
      <c r="O29" s="129">
        <f t="shared" ref="O29" si="9">O$7*$H19</f>
        <v>677.86750838128467</v>
      </c>
      <c r="P29"/>
    </row>
    <row r="30" spans="1:22">
      <c r="A30"/>
      <c r="B30" s="80" t="s">
        <v>318</v>
      </c>
      <c r="C30" s="44"/>
      <c r="D30" s="44"/>
      <c r="E30" s="44"/>
      <c r="F30" s="104"/>
      <c r="G30" s="104"/>
      <c r="H30" s="104">
        <f t="shared" si="5"/>
        <v>1910.5851137571765</v>
      </c>
      <c r="I30" s="104">
        <f t="shared" si="5"/>
        <v>2418.9218480969598</v>
      </c>
      <c r="J30" s="104">
        <f t="shared" si="5"/>
        <v>3076.8236344775687</v>
      </c>
      <c r="K30" s="104">
        <f t="shared" si="5"/>
        <v>3930.8111337759824</v>
      </c>
      <c r="L30" s="129">
        <f t="shared" si="5"/>
        <v>4974.6196152824341</v>
      </c>
      <c r="M30" s="129">
        <f t="shared" ref="M30:N30" si="10">M$7*$H20</f>
        <v>5740.4576150185849</v>
      </c>
      <c r="N30" s="129">
        <f t="shared" si="10"/>
        <v>6329.1968785235304</v>
      </c>
      <c r="O30" s="129">
        <f t="shared" ref="O30" si="11">O$7*$H20</f>
        <v>6677.1218990366251</v>
      </c>
      <c r="P30"/>
    </row>
    <row r="31" spans="1:22">
      <c r="A31"/>
      <c r="B31" s="80" t="s">
        <v>71</v>
      </c>
      <c r="C31" s="44"/>
      <c r="D31" s="44"/>
      <c r="E31" s="44"/>
      <c r="F31" s="104"/>
      <c r="G31" s="104"/>
      <c r="H31" s="104">
        <f t="shared" si="5"/>
        <v>535.39970678290456</v>
      </c>
      <c r="I31" s="104">
        <f t="shared" si="5"/>
        <v>677.8499627556879</v>
      </c>
      <c r="J31" s="104">
        <f t="shared" si="5"/>
        <v>862.21255460455052</v>
      </c>
      <c r="K31" s="104">
        <f t="shared" si="5"/>
        <v>1101.5238804535738</v>
      </c>
      <c r="L31" s="129">
        <f t="shared" si="5"/>
        <v>1394.0283864878911</v>
      </c>
      <c r="M31" s="129">
        <f t="shared" ref="M31:N31" si="12">M$7*$H21</f>
        <v>1608.6377423074894</v>
      </c>
      <c r="N31" s="129">
        <f t="shared" si="12"/>
        <v>1773.619049228837</v>
      </c>
      <c r="O31" s="129">
        <f t="shared" ref="O31" si="13">O$7*$H21</f>
        <v>1871.1174295018982</v>
      </c>
      <c r="P31"/>
    </row>
    <row r="32" spans="1:22" ht="15.75" thickBot="1">
      <c r="A32"/>
      <c r="B32" s="81"/>
      <c r="C32" s="82"/>
      <c r="D32" s="82"/>
      <c r="E32" s="82"/>
      <c r="F32" s="130"/>
      <c r="G32" s="130"/>
      <c r="H32" s="130"/>
      <c r="I32" s="130"/>
      <c r="J32" s="130"/>
      <c r="K32" s="130"/>
      <c r="L32" s="131"/>
      <c r="M32" s="131"/>
      <c r="N32" s="131"/>
      <c r="O32" s="131"/>
      <c r="P32"/>
    </row>
    <row r="33" spans="1:16">
      <c r="A33"/>
      <c r="B33" s="3"/>
      <c r="C33" s="3"/>
      <c r="D33" s="3"/>
      <c r="E33" s="3"/>
      <c r="F33" s="3"/>
      <c r="G33"/>
      <c r="H33"/>
      <c r="I33"/>
      <c r="J33"/>
      <c r="K33"/>
      <c r="L33"/>
      <c r="M33"/>
      <c r="N33"/>
      <c r="O33"/>
      <c r="P33"/>
    </row>
    <row r="34" spans="1:16">
      <c r="A34"/>
      <c r="B34" s="3"/>
      <c r="C34" s="3"/>
      <c r="D34" s="3"/>
      <c r="E34" s="3"/>
      <c r="F34" s="3"/>
      <c r="G34"/>
      <c r="H34"/>
      <c r="I34"/>
      <c r="J34"/>
      <c r="K34"/>
      <c r="L34"/>
      <c r="M34"/>
      <c r="N34"/>
      <c r="O34"/>
      <c r="P34"/>
    </row>
    <row r="35" spans="1:16">
      <c r="A35"/>
      <c r="B35" s="75" t="s">
        <v>308</v>
      </c>
      <c r="C35" s="75"/>
      <c r="D35" s="75"/>
      <c r="E35" s="75"/>
      <c r="F35" s="76"/>
      <c r="G35" s="77"/>
      <c r="H35" s="77"/>
      <c r="I35" s="77"/>
      <c r="J35" s="77"/>
      <c r="K35" s="77"/>
      <c r="L35" s="77"/>
      <c r="M35" s="77"/>
      <c r="N35" s="77"/>
      <c r="O35" s="77"/>
      <c r="P35"/>
    </row>
    <row r="36" spans="1:16">
      <c r="A36"/>
      <c r="B36" s="34" t="s">
        <v>21</v>
      </c>
      <c r="C36" s="3">
        <f>G18</f>
        <v>4</v>
      </c>
      <c r="D36" s="3"/>
      <c r="E36" s="3"/>
      <c r="F36"/>
      <c r="G36"/>
      <c r="H36"/>
      <c r="I36"/>
      <c r="J36"/>
      <c r="K36"/>
      <c r="L36"/>
      <c r="M36"/>
      <c r="N36"/>
      <c r="O36"/>
      <c r="P36"/>
    </row>
    <row r="37" spans="1:16">
      <c r="A37"/>
      <c r="B37" s="34" t="s">
        <v>306</v>
      </c>
      <c r="C37" s="13">
        <f>F18</f>
        <v>5772</v>
      </c>
      <c r="D37" s="3"/>
      <c r="E37" s="3"/>
      <c r="F37"/>
      <c r="G37"/>
      <c r="H37"/>
      <c r="I37"/>
      <c r="J37"/>
      <c r="K37"/>
      <c r="L37"/>
      <c r="M37"/>
      <c r="N37"/>
      <c r="O37"/>
      <c r="P37"/>
    </row>
    <row r="38" spans="1:16">
      <c r="A38"/>
      <c r="B38" s="34" t="s">
        <v>22</v>
      </c>
      <c r="C38" s="45"/>
      <c r="D38" s="45"/>
      <c r="E38" s="45"/>
      <c r="F38" s="7"/>
      <c r="G38" s="7"/>
      <c r="H38" s="7">
        <f t="shared" ref="H38:O38" si="14">$C37/$C36</f>
        <v>1443</v>
      </c>
      <c r="I38" s="7">
        <f t="shared" si="14"/>
        <v>1443</v>
      </c>
      <c r="J38" s="7">
        <f t="shared" si="14"/>
        <v>1443</v>
      </c>
      <c r="K38" s="7">
        <f t="shared" si="14"/>
        <v>1443</v>
      </c>
      <c r="L38" s="7">
        <f t="shared" si="14"/>
        <v>1443</v>
      </c>
      <c r="M38" s="7">
        <f t="shared" si="14"/>
        <v>1443</v>
      </c>
      <c r="N38" s="7">
        <f t="shared" si="14"/>
        <v>1443</v>
      </c>
      <c r="O38" s="7">
        <f t="shared" si="14"/>
        <v>1443</v>
      </c>
      <c r="P38"/>
    </row>
    <row r="39" spans="1:16">
      <c r="A39"/>
      <c r="B39" s="34"/>
      <c r="C39" s="3"/>
      <c r="D39" s="3"/>
      <c r="E39" s="3"/>
      <c r="F39"/>
      <c r="G39"/>
      <c r="H39"/>
      <c r="I39"/>
      <c r="J39"/>
      <c r="K39"/>
      <c r="L39"/>
      <c r="M39"/>
      <c r="N39"/>
      <c r="O39"/>
      <c r="P39"/>
    </row>
    <row r="40" spans="1:16">
      <c r="A40"/>
      <c r="B40" s="132" t="s">
        <v>81</v>
      </c>
      <c r="C40" t="s">
        <v>23</v>
      </c>
      <c r="D40" s="3" t="s">
        <v>21</v>
      </c>
      <c r="E40" s="3"/>
      <c r="F40"/>
      <c r="G40"/>
      <c r="H40"/>
      <c r="I40"/>
      <c r="J40"/>
      <c r="K40"/>
      <c r="L40"/>
      <c r="M40"/>
      <c r="N40"/>
      <c r="O40"/>
      <c r="P40"/>
    </row>
    <row r="41" spans="1:16">
      <c r="A41"/>
      <c r="B41" s="3">
        <v>2015</v>
      </c>
      <c r="C41">
        <f t="array" ref="C41:C48">TRANSPOSE(H28:O28)</f>
        <v>4193.1168352115683</v>
      </c>
      <c r="D41" s="29">
        <v>3</v>
      </c>
      <c r="E41" s="29"/>
      <c r="F41" s="29"/>
      <c r="G41" s="29"/>
      <c r="H41" s="365">
        <f>$C41/$D41/2</f>
        <v>698.85280586859471</v>
      </c>
      <c r="I41" s="29">
        <f t="shared" ref="I41:O47" si="15">$C41/$D41</f>
        <v>1397.7056117371894</v>
      </c>
      <c r="J41" s="29">
        <f t="shared" si="15"/>
        <v>1397.7056117371894</v>
      </c>
      <c r="K41" s="29">
        <f t="shared" si="15"/>
        <v>1397.7056117371894</v>
      </c>
      <c r="L41" s="29">
        <f t="shared" si="15"/>
        <v>1397.7056117371894</v>
      </c>
      <c r="M41" s="29">
        <f t="shared" si="15"/>
        <v>1397.7056117371894</v>
      </c>
      <c r="N41" s="29">
        <f t="shared" si="15"/>
        <v>1397.7056117371894</v>
      </c>
      <c r="O41" s="29">
        <f t="shared" si="15"/>
        <v>1397.7056117371894</v>
      </c>
      <c r="P41"/>
    </row>
    <row r="42" spans="1:16">
      <c r="A42"/>
      <c r="B42" s="3">
        <f t="shared" ref="B42:B48" si="16">B41+1</f>
        <v>2016</v>
      </c>
      <c r="C42">
        <v>5308.7516757473968</v>
      </c>
      <c r="D42" s="29">
        <v>3</v>
      </c>
      <c r="E42" s="29"/>
      <c r="F42" s="29"/>
      <c r="G42" s="29"/>
      <c r="H42" s="29"/>
      <c r="I42" s="365">
        <f>$C42/$D42/2</f>
        <v>884.79194595789943</v>
      </c>
      <c r="J42" s="29">
        <f t="shared" si="15"/>
        <v>1769.5838919157989</v>
      </c>
      <c r="K42" s="29">
        <f t="shared" si="15"/>
        <v>1769.5838919157989</v>
      </c>
      <c r="L42" s="29">
        <f t="shared" si="15"/>
        <v>1769.5838919157989</v>
      </c>
      <c r="M42" s="29">
        <f t="shared" si="15"/>
        <v>1769.5838919157989</v>
      </c>
      <c r="N42" s="29">
        <f t="shared" si="15"/>
        <v>1769.5838919157989</v>
      </c>
      <c r="O42" s="29">
        <f t="shared" si="15"/>
        <v>1769.5838919157989</v>
      </c>
      <c r="P42"/>
    </row>
    <row r="43" spans="1:16">
      <c r="A43"/>
      <c r="B43" s="3">
        <f t="shared" si="16"/>
        <v>2017</v>
      </c>
      <c r="C43">
        <v>6752.6334669979187</v>
      </c>
      <c r="D43" s="29">
        <v>3</v>
      </c>
      <c r="E43" s="29"/>
      <c r="F43" s="29"/>
      <c r="G43" s="29"/>
      <c r="H43" s="29"/>
      <c r="I43" s="29"/>
      <c r="J43" s="365">
        <f>$C43/$D43/2</f>
        <v>1125.4389111663197</v>
      </c>
      <c r="K43" s="29">
        <f t="shared" si="15"/>
        <v>2250.8778223326394</v>
      </c>
      <c r="L43" s="29">
        <f t="shared" si="15"/>
        <v>2250.8778223326394</v>
      </c>
      <c r="M43" s="29">
        <f t="shared" si="15"/>
        <v>2250.8778223326394</v>
      </c>
      <c r="N43" s="29">
        <f t="shared" si="15"/>
        <v>2250.8778223326394</v>
      </c>
      <c r="O43" s="29">
        <f t="shared" si="15"/>
        <v>2250.8778223326394</v>
      </c>
      <c r="P43"/>
    </row>
    <row r="44" spans="1:16">
      <c r="A44"/>
      <c r="B44" s="3">
        <f t="shared" si="16"/>
        <v>2018</v>
      </c>
      <c r="C44">
        <v>8626.8600243935252</v>
      </c>
      <c r="D44" s="29">
        <v>3</v>
      </c>
      <c r="E44" s="29"/>
      <c r="F44" s="15"/>
      <c r="G44" s="29"/>
      <c r="H44" s="29"/>
      <c r="I44" s="29"/>
      <c r="J44" s="29"/>
      <c r="K44" s="365">
        <f>$C44/$D44/2</f>
        <v>1437.8100040655875</v>
      </c>
      <c r="L44" s="29">
        <f t="shared" si="15"/>
        <v>2875.6200081311749</v>
      </c>
      <c r="M44" s="29">
        <f t="shared" si="15"/>
        <v>2875.6200081311749</v>
      </c>
      <c r="N44" s="29">
        <f t="shared" si="15"/>
        <v>2875.6200081311749</v>
      </c>
      <c r="O44" s="29">
        <f t="shared" si="15"/>
        <v>2875.6200081311749</v>
      </c>
      <c r="P44"/>
    </row>
    <row r="45" spans="1:16">
      <c r="A45"/>
      <c r="B45" s="3">
        <f t="shared" si="16"/>
        <v>2019</v>
      </c>
      <c r="C45" s="3">
        <v>10917.682288749129</v>
      </c>
      <c r="D45" s="29">
        <v>3</v>
      </c>
      <c r="E45" s="3"/>
      <c r="F45"/>
      <c r="G45"/>
      <c r="H45"/>
      <c r="I45"/>
      <c r="J45"/>
      <c r="K45"/>
      <c r="L45" s="365">
        <f>$C45/$D45/2</f>
        <v>1819.6137147915215</v>
      </c>
      <c r="M45" s="365">
        <f>$C45/$D45</f>
        <v>3639.227429583043</v>
      </c>
      <c r="N45" s="365">
        <f t="shared" si="15"/>
        <v>3639.227429583043</v>
      </c>
      <c r="O45" s="365">
        <f t="shared" si="15"/>
        <v>3639.227429583043</v>
      </c>
      <c r="P45"/>
    </row>
    <row r="46" spans="1:16">
      <c r="A46"/>
      <c r="B46" s="3">
        <f t="shared" si="16"/>
        <v>2020</v>
      </c>
      <c r="C46" s="3">
        <v>12598.449183987557</v>
      </c>
      <c r="D46" s="29">
        <v>3</v>
      </c>
      <c r="E46" s="3"/>
      <c r="F46"/>
      <c r="G46"/>
      <c r="H46"/>
      <c r="I46"/>
      <c r="J46"/>
      <c r="K46"/>
      <c r="L46" s="365"/>
      <c r="M46" s="365">
        <f>$C46/$D46/2</f>
        <v>2099.741530664593</v>
      </c>
      <c r="N46" s="365">
        <f t="shared" si="15"/>
        <v>4199.4830613291861</v>
      </c>
      <c r="O46" s="365">
        <f t="shared" si="15"/>
        <v>4199.4830613291861</v>
      </c>
      <c r="P46"/>
    </row>
    <row r="47" spans="1:16">
      <c r="A47"/>
      <c r="B47" s="3">
        <f t="shared" si="16"/>
        <v>2021</v>
      </c>
      <c r="C47" s="3">
        <v>13890.541590432631</v>
      </c>
      <c r="D47" s="29">
        <v>3</v>
      </c>
      <c r="E47" s="3"/>
      <c r="F47"/>
      <c r="G47"/>
      <c r="H47"/>
      <c r="I47"/>
      <c r="J47"/>
      <c r="K47"/>
      <c r="L47" s="365"/>
      <c r="M47" s="365"/>
      <c r="N47" s="365">
        <f>$C47/$D47/2</f>
        <v>2315.090265072105</v>
      </c>
      <c r="O47" s="365">
        <f t="shared" si="15"/>
        <v>4630.18053014421</v>
      </c>
      <c r="P47"/>
    </row>
    <row r="48" spans="1:16">
      <c r="A48"/>
      <c r="B48" s="3">
        <f t="shared" si="16"/>
        <v>2022</v>
      </c>
      <c r="C48" s="3">
        <v>14654.124563208898</v>
      </c>
      <c r="D48" s="29">
        <v>3</v>
      </c>
      <c r="E48" s="3"/>
      <c r="F48"/>
      <c r="G48"/>
      <c r="H48"/>
      <c r="I48"/>
      <c r="J48"/>
      <c r="K48"/>
      <c r="L48" s="365"/>
      <c r="M48" s="365"/>
      <c r="N48" s="365"/>
      <c r="O48" s="365">
        <f>$C48/$D48/2</f>
        <v>2442.3540938681494</v>
      </c>
      <c r="P48"/>
    </row>
    <row r="49" spans="1:16">
      <c r="A49"/>
      <c r="B49" s="3"/>
      <c r="C49" s="3"/>
      <c r="D49" s="3"/>
      <c r="E49" s="3"/>
      <c r="F49"/>
      <c r="G49"/>
      <c r="H49"/>
      <c r="I49"/>
      <c r="J49"/>
      <c r="K49"/>
      <c r="L49"/>
      <c r="M49"/>
      <c r="N49"/>
      <c r="O49"/>
      <c r="P49"/>
    </row>
    <row r="50" spans="1:16" ht="15.75" thickBot="1">
      <c r="A50"/>
      <c r="B50" s="46" t="s">
        <v>309</v>
      </c>
      <c r="C50" s="47"/>
      <c r="D50" s="47"/>
      <c r="E50" s="47"/>
      <c r="F50" s="47"/>
      <c r="G50" s="47"/>
      <c r="H50" s="47">
        <f>SUM(H38:H48)</f>
        <v>2141.8528058685947</v>
      </c>
      <c r="I50" s="47">
        <f t="shared" ref="I50:O50" si="17">SUM(I38:I48)</f>
        <v>3725.4975576950887</v>
      </c>
      <c r="J50" s="47">
        <f t="shared" si="17"/>
        <v>5735.7284148193075</v>
      </c>
      <c r="K50" s="47">
        <f t="shared" si="17"/>
        <v>8298.9773300512152</v>
      </c>
      <c r="L50" s="47">
        <f t="shared" si="17"/>
        <v>11556.401048908323</v>
      </c>
      <c r="M50" s="47">
        <f t="shared" si="17"/>
        <v>15475.756294364437</v>
      </c>
      <c r="N50" s="47">
        <f t="shared" si="17"/>
        <v>19890.588090101133</v>
      </c>
      <c r="O50" s="47">
        <f t="shared" si="17"/>
        <v>24648.032449041391</v>
      </c>
      <c r="P50"/>
    </row>
    <row r="51" spans="1:16" ht="15.75" thickTop="1">
      <c r="A51"/>
      <c r="B51" s="3"/>
      <c r="C51" s="3"/>
      <c r="D51" s="3"/>
      <c r="E51" s="3"/>
      <c r="F51" s="3"/>
      <c r="G51"/>
      <c r="H51"/>
      <c r="I51"/>
      <c r="J51"/>
      <c r="K51"/>
      <c r="L51"/>
      <c r="M51"/>
      <c r="N51"/>
      <c r="O51"/>
      <c r="P51"/>
    </row>
    <row r="52" spans="1:16">
      <c r="A52"/>
      <c r="B52" s="75" t="s">
        <v>307</v>
      </c>
      <c r="C52" s="75"/>
      <c r="D52" s="75"/>
      <c r="E52" s="75"/>
      <c r="F52" s="76"/>
      <c r="G52" s="77"/>
      <c r="H52" s="77"/>
      <c r="I52" s="77"/>
      <c r="J52" s="77"/>
      <c r="K52" s="77"/>
      <c r="L52" s="77"/>
      <c r="M52" s="77"/>
      <c r="N52" s="77"/>
      <c r="O52" s="77"/>
      <c r="P52"/>
    </row>
    <row r="53" spans="1:16">
      <c r="A53"/>
      <c r="B53" s="34" t="s">
        <v>21</v>
      </c>
      <c r="C53" s="3">
        <f>G19</f>
        <v>4</v>
      </c>
      <c r="D53" s="3"/>
      <c r="E53" s="3"/>
      <c r="F53"/>
      <c r="G53"/>
      <c r="H53"/>
      <c r="I53"/>
      <c r="J53"/>
      <c r="K53"/>
      <c r="L53"/>
      <c r="M53"/>
      <c r="N53"/>
      <c r="O53"/>
      <c r="P53"/>
    </row>
    <row r="54" spans="1:16">
      <c r="A54"/>
      <c r="B54" s="34" t="s">
        <v>307</v>
      </c>
      <c r="C54" s="60">
        <f>F19</f>
        <v>267</v>
      </c>
      <c r="D54" s="3"/>
      <c r="E54" s="3"/>
      <c r="F54"/>
      <c r="G54"/>
      <c r="H54"/>
      <c r="I54"/>
      <c r="J54"/>
      <c r="K54"/>
      <c r="L54"/>
      <c r="M54"/>
      <c r="N54"/>
      <c r="O54"/>
      <c r="P54"/>
    </row>
    <row r="55" spans="1:16">
      <c r="A55"/>
      <c r="B55" s="34" t="s">
        <v>22</v>
      </c>
      <c r="C55" s="45"/>
      <c r="D55" s="45"/>
      <c r="E55" s="45"/>
      <c r="F55" s="7"/>
      <c r="G55" s="7"/>
      <c r="H55" s="7">
        <f t="shared" ref="H55:O55" si="18">$C54/$C53</f>
        <v>66.75</v>
      </c>
      <c r="I55" s="7">
        <f t="shared" si="18"/>
        <v>66.75</v>
      </c>
      <c r="J55" s="7">
        <f t="shared" si="18"/>
        <v>66.75</v>
      </c>
      <c r="K55" s="7">
        <f t="shared" si="18"/>
        <v>66.75</v>
      </c>
      <c r="L55" s="7">
        <f t="shared" si="18"/>
        <v>66.75</v>
      </c>
      <c r="M55" s="7">
        <f t="shared" si="18"/>
        <v>66.75</v>
      </c>
      <c r="N55" s="7">
        <f t="shared" si="18"/>
        <v>66.75</v>
      </c>
      <c r="O55" s="7">
        <f t="shared" si="18"/>
        <v>66.75</v>
      </c>
      <c r="P55"/>
    </row>
    <row r="56" spans="1:16">
      <c r="A56"/>
      <c r="B56" s="3"/>
      <c r="C56" s="3"/>
      <c r="D56" s="3"/>
      <c r="E56" s="3"/>
      <c r="F56"/>
      <c r="G56"/>
      <c r="H56"/>
      <c r="I56"/>
      <c r="J56"/>
      <c r="K56"/>
      <c r="L56"/>
      <c r="M56"/>
      <c r="N56"/>
      <c r="O56"/>
      <c r="P56"/>
    </row>
    <row r="57" spans="1:16">
      <c r="A57"/>
      <c r="B57" s="132" t="s">
        <v>81</v>
      </c>
      <c r="C57" s="132" t="s">
        <v>23</v>
      </c>
      <c r="D57" s="3" t="s">
        <v>21</v>
      </c>
      <c r="E57" s="3"/>
      <c r="F57"/>
      <c r="G57"/>
      <c r="H57"/>
      <c r="I57"/>
      <c r="J57"/>
      <c r="K57"/>
      <c r="L57"/>
      <c r="M57"/>
      <c r="N57"/>
      <c r="O57"/>
      <c r="P57"/>
    </row>
    <row r="58" spans="1:16">
      <c r="A58"/>
      <c r="B58" s="3">
        <v>2015</v>
      </c>
      <c r="C58" s="29">
        <f t="array" ref="C58:C65">TRANSPOSE(H29:O29)</f>
        <v>193.96434424835212</v>
      </c>
      <c r="D58" s="29">
        <v>3</v>
      </c>
      <c r="E58" s="29"/>
      <c r="F58" s="29"/>
      <c r="G58" s="29"/>
      <c r="H58" s="365">
        <f>$C58/$D58/2</f>
        <v>32.327390708058687</v>
      </c>
      <c r="I58" s="29">
        <f t="shared" ref="I58:O64" si="19">$C58/$D58</f>
        <v>64.654781416117373</v>
      </c>
      <c r="J58" s="29">
        <f t="shared" si="19"/>
        <v>64.654781416117373</v>
      </c>
      <c r="K58" s="29">
        <f t="shared" si="19"/>
        <v>64.654781416117373</v>
      </c>
      <c r="L58" s="29">
        <f t="shared" si="19"/>
        <v>64.654781416117373</v>
      </c>
      <c r="M58" s="29">
        <f t="shared" si="19"/>
        <v>64.654781416117373</v>
      </c>
      <c r="N58" s="29">
        <f t="shared" si="19"/>
        <v>64.654781416117373</v>
      </c>
      <c r="O58" s="29">
        <f t="shared" si="19"/>
        <v>64.654781416117373</v>
      </c>
      <c r="P58"/>
    </row>
    <row r="59" spans="1:16">
      <c r="A59"/>
      <c r="B59" s="3">
        <f t="shared" ref="B59:B65" si="20">B58+1</f>
        <v>2016</v>
      </c>
      <c r="C59" s="29">
        <v>245.5711533999575</v>
      </c>
      <c r="D59" s="29">
        <v>3</v>
      </c>
      <c r="E59" s="29"/>
      <c r="F59" s="29"/>
      <c r="G59" s="29"/>
      <c r="H59" s="29"/>
      <c r="I59" s="365">
        <f>$C59/$D59/2</f>
        <v>40.92852556665958</v>
      </c>
      <c r="J59" s="29">
        <f t="shared" si="19"/>
        <v>81.85705113331916</v>
      </c>
      <c r="K59" s="29">
        <f t="shared" si="19"/>
        <v>81.85705113331916</v>
      </c>
      <c r="L59" s="29">
        <f t="shared" si="19"/>
        <v>81.85705113331916</v>
      </c>
      <c r="M59" s="29">
        <f t="shared" si="19"/>
        <v>81.85705113331916</v>
      </c>
      <c r="N59" s="29">
        <f t="shared" si="19"/>
        <v>81.85705113331916</v>
      </c>
      <c r="O59" s="29">
        <f t="shared" si="19"/>
        <v>81.85705113331916</v>
      </c>
      <c r="P59"/>
    </row>
    <row r="60" spans="1:16">
      <c r="A60"/>
      <c r="B60" s="3">
        <f t="shared" si="20"/>
        <v>2017</v>
      </c>
      <c r="C60" s="29">
        <v>312.36194311996604</v>
      </c>
      <c r="D60" s="29">
        <v>3</v>
      </c>
      <c r="E60" s="29"/>
      <c r="F60" s="29"/>
      <c r="G60" s="29"/>
      <c r="H60" s="29"/>
      <c r="I60" s="29"/>
      <c r="J60" s="365">
        <f>$C60/$D60/2</f>
        <v>52.060323853327674</v>
      </c>
      <c r="K60" s="29">
        <f t="shared" si="19"/>
        <v>104.12064770665535</v>
      </c>
      <c r="L60" s="29">
        <f t="shared" si="19"/>
        <v>104.12064770665535</v>
      </c>
      <c r="M60" s="29">
        <f t="shared" si="19"/>
        <v>104.12064770665535</v>
      </c>
      <c r="N60" s="29">
        <f t="shared" si="19"/>
        <v>104.12064770665535</v>
      </c>
      <c r="O60" s="29">
        <f t="shared" si="19"/>
        <v>104.12064770665535</v>
      </c>
      <c r="P60"/>
    </row>
    <row r="61" spans="1:16">
      <c r="A61"/>
      <c r="B61" s="3">
        <f t="shared" si="20"/>
        <v>2018</v>
      </c>
      <c r="C61" s="29">
        <v>399.05953335292293</v>
      </c>
      <c r="D61" s="29">
        <v>3</v>
      </c>
      <c r="E61" s="29"/>
      <c r="F61" s="15"/>
      <c r="G61" s="29"/>
      <c r="H61" s="29"/>
      <c r="I61" s="29"/>
      <c r="J61" s="29"/>
      <c r="K61" s="365">
        <f>$C61/$D61/2</f>
        <v>66.509922225487159</v>
      </c>
      <c r="L61" s="29">
        <f t="shared" si="19"/>
        <v>133.01984445097432</v>
      </c>
      <c r="M61" s="29">
        <f t="shared" si="19"/>
        <v>133.01984445097432</v>
      </c>
      <c r="N61" s="29">
        <f t="shared" si="19"/>
        <v>133.01984445097432</v>
      </c>
      <c r="O61" s="29">
        <f t="shared" si="19"/>
        <v>133.01984445097432</v>
      </c>
      <c r="P61"/>
    </row>
    <row r="62" spans="1:16">
      <c r="A62"/>
      <c r="B62" s="3">
        <f t="shared" si="20"/>
        <v>2019</v>
      </c>
      <c r="C62" s="29">
        <v>505.0279229203079</v>
      </c>
      <c r="D62" s="29">
        <v>3</v>
      </c>
      <c r="E62" s="29"/>
      <c r="F62"/>
      <c r="G62"/>
      <c r="H62"/>
      <c r="I62"/>
      <c r="J62"/>
      <c r="K62"/>
      <c r="L62" s="365">
        <f>$C62/$D62/2</f>
        <v>84.171320486717988</v>
      </c>
      <c r="M62" s="29">
        <f t="shared" si="19"/>
        <v>168.34264097343598</v>
      </c>
      <c r="N62" s="29">
        <f t="shared" si="19"/>
        <v>168.34264097343598</v>
      </c>
      <c r="O62" s="29">
        <f t="shared" si="19"/>
        <v>168.34264097343598</v>
      </c>
      <c r="P62"/>
    </row>
    <row r="63" spans="1:16">
      <c r="A63"/>
      <c r="B63" s="3">
        <f t="shared" si="20"/>
        <v>2020</v>
      </c>
      <c r="C63" s="29">
        <v>582.7764955170959</v>
      </c>
      <c r="D63" s="29">
        <v>3</v>
      </c>
      <c r="E63" s="29"/>
      <c r="F63"/>
      <c r="G63"/>
      <c r="H63"/>
      <c r="I63"/>
      <c r="J63"/>
      <c r="K63"/>
      <c r="L63" s="365"/>
      <c r="M63" s="365">
        <f>$C63/$D63/2</f>
        <v>97.129415919515978</v>
      </c>
      <c r="N63" s="29">
        <f t="shared" si="19"/>
        <v>194.25883183903196</v>
      </c>
      <c r="O63" s="29">
        <f t="shared" si="19"/>
        <v>194.25883183903196</v>
      </c>
      <c r="P63"/>
    </row>
    <row r="64" spans="1:16">
      <c r="A64"/>
      <c r="B64" s="3">
        <f t="shared" si="20"/>
        <v>2021</v>
      </c>
      <c r="C64" s="29">
        <v>642.54584280067775</v>
      </c>
      <c r="D64" s="29">
        <v>3</v>
      </c>
      <c r="E64" s="29"/>
      <c r="F64"/>
      <c r="G64"/>
      <c r="H64"/>
      <c r="I64"/>
      <c r="J64"/>
      <c r="K64"/>
      <c r="L64" s="365"/>
      <c r="M64" s="365"/>
      <c r="N64" s="365">
        <f>$C64/$D64/2</f>
        <v>107.09097380011296</v>
      </c>
      <c r="O64" s="29">
        <f t="shared" si="19"/>
        <v>214.18194760022593</v>
      </c>
      <c r="P64"/>
    </row>
    <row r="65" spans="1:16">
      <c r="A65"/>
      <c r="B65" s="3">
        <f t="shared" si="20"/>
        <v>2022</v>
      </c>
      <c r="C65" s="29">
        <v>677.86750838128467</v>
      </c>
      <c r="D65" s="29">
        <v>3</v>
      </c>
      <c r="E65" s="29"/>
      <c r="F65"/>
      <c r="G65"/>
      <c r="H65"/>
      <c r="I65"/>
      <c r="J65"/>
      <c r="K65"/>
      <c r="L65" s="365"/>
      <c r="M65" s="365"/>
      <c r="N65" s="365"/>
      <c r="O65" s="365">
        <f>$C65/$D65/2</f>
        <v>112.97791806354745</v>
      </c>
      <c r="P65"/>
    </row>
    <row r="66" spans="1:16">
      <c r="A66"/>
      <c r="B66" s="3"/>
      <c r="C66" s="29"/>
      <c r="D66" s="29"/>
      <c r="E66" s="29"/>
      <c r="F66"/>
      <c r="G66"/>
      <c r="H66"/>
      <c r="I66"/>
      <c r="J66"/>
      <c r="K66"/>
      <c r="L66"/>
      <c r="M66"/>
      <c r="N66"/>
      <c r="O66"/>
      <c r="P66"/>
    </row>
    <row r="67" spans="1:16" ht="15.75" thickBot="1">
      <c r="A67"/>
      <c r="B67" s="46" t="s">
        <v>310</v>
      </c>
      <c r="C67" s="47"/>
      <c r="D67" s="47"/>
      <c r="E67" s="47"/>
      <c r="F67" s="47"/>
      <c r="G67" s="47"/>
      <c r="H67" s="47">
        <f>SUM(H55:H65)</f>
        <v>99.077390708058687</v>
      </c>
      <c r="I67" s="47">
        <f t="shared" ref="I67:O67" si="21">SUM(I55:I65)</f>
        <v>172.33330698277695</v>
      </c>
      <c r="J67" s="47">
        <f t="shared" si="21"/>
        <v>265.32215640276422</v>
      </c>
      <c r="K67" s="47">
        <f t="shared" si="21"/>
        <v>383.89240248157904</v>
      </c>
      <c r="L67" s="47">
        <f t="shared" si="21"/>
        <v>534.57364519378416</v>
      </c>
      <c r="M67" s="47">
        <f t="shared" si="21"/>
        <v>715.87438160001818</v>
      </c>
      <c r="N67" s="47">
        <f t="shared" si="21"/>
        <v>920.09477131964707</v>
      </c>
      <c r="O67" s="47">
        <f t="shared" si="21"/>
        <v>1140.1636631833073</v>
      </c>
      <c r="P67"/>
    </row>
    <row r="68" spans="1:16" ht="15.75" thickTop="1">
      <c r="A68"/>
      <c r="B68" s="3"/>
      <c r="C68" s="29"/>
      <c r="D68" s="29"/>
      <c r="E68" s="29"/>
      <c r="F68" s="29"/>
      <c r="G68" s="15"/>
      <c r="H68" s="15"/>
      <c r="I68"/>
      <c r="J68"/>
      <c r="K68"/>
      <c r="L68"/>
      <c r="M68"/>
      <c r="N68"/>
      <c r="O68"/>
      <c r="P68"/>
    </row>
    <row r="69" spans="1:16">
      <c r="A69"/>
      <c r="B69" s="75" t="s">
        <v>319</v>
      </c>
      <c r="C69" s="75"/>
      <c r="D69" s="75"/>
      <c r="E69" s="75"/>
      <c r="F69" s="76"/>
      <c r="G69" s="77"/>
      <c r="H69" s="77"/>
      <c r="I69" s="77"/>
      <c r="J69" s="77"/>
      <c r="K69" s="77"/>
      <c r="L69" s="77"/>
      <c r="M69" s="77"/>
      <c r="N69" s="77"/>
      <c r="O69" s="77"/>
      <c r="P69"/>
    </row>
    <row r="70" spans="1:16">
      <c r="A70"/>
      <c r="B70" s="34" t="s">
        <v>21</v>
      </c>
      <c r="C70" s="3">
        <f>G20</f>
        <v>20</v>
      </c>
      <c r="D70" s="3"/>
      <c r="E70" s="3"/>
      <c r="F70"/>
      <c r="G70"/>
      <c r="H70"/>
      <c r="I70"/>
      <c r="J70"/>
      <c r="K70"/>
      <c r="L70"/>
      <c r="M70"/>
      <c r="N70"/>
      <c r="O70"/>
      <c r="P70"/>
    </row>
    <row r="71" spans="1:16">
      <c r="A71"/>
      <c r="B71" s="34" t="s">
        <v>318</v>
      </c>
      <c r="C71" s="60">
        <f>F20</f>
        <v>2630</v>
      </c>
      <c r="D71" s="3"/>
      <c r="E71" s="3"/>
      <c r="F71"/>
      <c r="G71"/>
      <c r="H71"/>
      <c r="I71"/>
      <c r="J71"/>
      <c r="K71"/>
      <c r="L71"/>
      <c r="M71"/>
      <c r="N71"/>
      <c r="O71"/>
      <c r="P71"/>
    </row>
    <row r="72" spans="1:16">
      <c r="A72"/>
      <c r="B72" s="34" t="s">
        <v>22</v>
      </c>
      <c r="C72" s="45"/>
      <c r="D72" s="45"/>
      <c r="E72" s="45"/>
      <c r="F72" s="7"/>
      <c r="G72" s="7"/>
      <c r="H72" s="7">
        <f t="shared" ref="H72:O72" si="22">$C71/$C70</f>
        <v>131.5</v>
      </c>
      <c r="I72" s="7">
        <f t="shared" si="22"/>
        <v>131.5</v>
      </c>
      <c r="J72" s="7">
        <f t="shared" si="22"/>
        <v>131.5</v>
      </c>
      <c r="K72" s="7">
        <f t="shared" si="22"/>
        <v>131.5</v>
      </c>
      <c r="L72" s="7">
        <f t="shared" si="22"/>
        <v>131.5</v>
      </c>
      <c r="M72" s="7">
        <f t="shared" si="22"/>
        <v>131.5</v>
      </c>
      <c r="N72" s="7">
        <f t="shared" si="22"/>
        <v>131.5</v>
      </c>
      <c r="O72" s="7">
        <f t="shared" si="22"/>
        <v>131.5</v>
      </c>
      <c r="P72"/>
    </row>
    <row r="73" spans="1:16">
      <c r="A73"/>
      <c r="B73" s="3"/>
      <c r="C73" s="3"/>
      <c r="D73" s="3"/>
      <c r="E73" s="3"/>
      <c r="F73"/>
      <c r="G73"/>
      <c r="H73"/>
      <c r="I73"/>
      <c r="J73"/>
      <c r="K73"/>
      <c r="L73"/>
      <c r="M73"/>
      <c r="N73"/>
      <c r="O73"/>
      <c r="P73"/>
    </row>
    <row r="74" spans="1:16">
      <c r="A74"/>
      <c r="B74" s="132" t="s">
        <v>81</v>
      </c>
      <c r="C74" s="132" t="s">
        <v>23</v>
      </c>
      <c r="D74" s="3" t="s">
        <v>21</v>
      </c>
      <c r="E74" s="3"/>
      <c r="F74"/>
      <c r="G74"/>
      <c r="H74"/>
      <c r="I74"/>
      <c r="J74"/>
      <c r="K74"/>
      <c r="L74"/>
      <c r="M74"/>
      <c r="N74"/>
      <c r="O74"/>
      <c r="P74"/>
    </row>
    <row r="75" spans="1:16">
      <c r="A75"/>
      <c r="B75" s="3">
        <v>2015</v>
      </c>
      <c r="C75" s="29">
        <f t="array" ref="C75:C82">TRANSPOSE(H30:O30)</f>
        <v>1910.5851137571765</v>
      </c>
      <c r="D75" s="29">
        <v>3</v>
      </c>
      <c r="E75" s="29"/>
      <c r="F75" s="29"/>
      <c r="G75" s="29"/>
      <c r="H75" s="365">
        <f>$C75/$D75/2</f>
        <v>318.43085229286277</v>
      </c>
      <c r="I75" s="29">
        <f t="shared" ref="I75:O81" si="23">$C75/$D75</f>
        <v>636.86170458572553</v>
      </c>
      <c r="J75" s="29">
        <f t="shared" si="23"/>
        <v>636.86170458572553</v>
      </c>
      <c r="K75" s="29">
        <f t="shared" si="23"/>
        <v>636.86170458572553</v>
      </c>
      <c r="L75" s="29">
        <f t="shared" si="23"/>
        <v>636.86170458572553</v>
      </c>
      <c r="M75" s="29">
        <f t="shared" si="23"/>
        <v>636.86170458572553</v>
      </c>
      <c r="N75" s="29">
        <f t="shared" si="23"/>
        <v>636.86170458572553</v>
      </c>
      <c r="O75" s="29">
        <f t="shared" si="23"/>
        <v>636.86170458572553</v>
      </c>
      <c r="P75"/>
    </row>
    <row r="76" spans="1:16">
      <c r="A76"/>
      <c r="B76" s="3">
        <f t="shared" ref="B76:B82" si="24">B75+1</f>
        <v>2016</v>
      </c>
      <c r="C76" s="29">
        <v>2418.9218480969598</v>
      </c>
      <c r="D76" s="29">
        <v>3</v>
      </c>
      <c r="E76" s="29"/>
      <c r="F76" s="29"/>
      <c r="G76" s="29"/>
      <c r="H76" s="29"/>
      <c r="I76" s="365">
        <f>$C76/$D76/2</f>
        <v>403.15364134949328</v>
      </c>
      <c r="J76" s="29">
        <f t="shared" si="23"/>
        <v>806.30728269898657</v>
      </c>
      <c r="K76" s="29">
        <f t="shared" si="23"/>
        <v>806.30728269898657</v>
      </c>
      <c r="L76" s="29">
        <f t="shared" si="23"/>
        <v>806.30728269898657</v>
      </c>
      <c r="M76" s="29">
        <f t="shared" si="23"/>
        <v>806.30728269898657</v>
      </c>
      <c r="N76" s="29">
        <f t="shared" si="23"/>
        <v>806.30728269898657</v>
      </c>
      <c r="O76" s="29">
        <f t="shared" si="23"/>
        <v>806.30728269898657</v>
      </c>
      <c r="P76"/>
    </row>
    <row r="77" spans="1:16">
      <c r="A77"/>
      <c r="B77" s="3">
        <f t="shared" si="24"/>
        <v>2017</v>
      </c>
      <c r="C77" s="29">
        <v>3076.8236344775687</v>
      </c>
      <c r="D77" s="29">
        <v>3</v>
      </c>
      <c r="E77" s="29"/>
      <c r="F77" s="29"/>
      <c r="G77" s="29"/>
      <c r="H77" s="29"/>
      <c r="I77" s="29"/>
      <c r="J77" s="365">
        <f>$C77/$D77/2</f>
        <v>512.80393907959478</v>
      </c>
      <c r="K77" s="29">
        <f t="shared" si="23"/>
        <v>1025.6078781591896</v>
      </c>
      <c r="L77" s="29">
        <f t="shared" si="23"/>
        <v>1025.6078781591896</v>
      </c>
      <c r="M77" s="29">
        <f t="shared" si="23"/>
        <v>1025.6078781591896</v>
      </c>
      <c r="N77" s="29">
        <f t="shared" si="23"/>
        <v>1025.6078781591896</v>
      </c>
      <c r="O77" s="29">
        <f t="shared" si="23"/>
        <v>1025.6078781591896</v>
      </c>
      <c r="P77"/>
    </row>
    <row r="78" spans="1:16">
      <c r="A78"/>
      <c r="B78" s="3">
        <f t="shared" si="24"/>
        <v>2018</v>
      </c>
      <c r="C78" s="29">
        <v>3930.8111337759824</v>
      </c>
      <c r="D78" s="29">
        <v>3</v>
      </c>
      <c r="E78" s="29"/>
      <c r="F78" s="15"/>
      <c r="G78" s="29"/>
      <c r="H78" s="29"/>
      <c r="I78" s="29"/>
      <c r="J78" s="29"/>
      <c r="K78" s="365">
        <f>$C78/$D78/2</f>
        <v>655.13518896266373</v>
      </c>
      <c r="L78" s="29">
        <f t="shared" si="23"/>
        <v>1310.2703779253275</v>
      </c>
      <c r="M78" s="29">
        <f t="shared" si="23"/>
        <v>1310.2703779253275</v>
      </c>
      <c r="N78" s="29">
        <f t="shared" si="23"/>
        <v>1310.2703779253275</v>
      </c>
      <c r="O78" s="29">
        <f t="shared" si="23"/>
        <v>1310.2703779253275</v>
      </c>
      <c r="P78"/>
    </row>
    <row r="79" spans="1:16">
      <c r="A79"/>
      <c r="B79" s="3">
        <f t="shared" si="24"/>
        <v>2019</v>
      </c>
      <c r="C79" s="3">
        <v>4974.6196152824341</v>
      </c>
      <c r="D79" s="29">
        <v>3</v>
      </c>
      <c r="E79" s="3"/>
      <c r="F79"/>
      <c r="G79"/>
      <c r="H79"/>
      <c r="I79"/>
      <c r="J79"/>
      <c r="K79"/>
      <c r="L79" s="365">
        <f>$C79/$D79/2</f>
        <v>829.10326921373905</v>
      </c>
      <c r="M79" s="29">
        <f t="shared" si="23"/>
        <v>1658.2065384274781</v>
      </c>
      <c r="N79" s="29">
        <f t="shared" si="23"/>
        <v>1658.2065384274781</v>
      </c>
      <c r="O79" s="29">
        <f t="shared" si="23"/>
        <v>1658.2065384274781</v>
      </c>
      <c r="P79"/>
    </row>
    <row r="80" spans="1:16">
      <c r="A80"/>
      <c r="B80" s="3">
        <f t="shared" si="24"/>
        <v>2020</v>
      </c>
      <c r="C80" s="3">
        <v>5740.4576150185849</v>
      </c>
      <c r="D80" s="29">
        <v>3</v>
      </c>
      <c r="E80" s="3"/>
      <c r="F80"/>
      <c r="G80"/>
      <c r="H80"/>
      <c r="I80"/>
      <c r="J80"/>
      <c r="K80"/>
      <c r="L80" s="365"/>
      <c r="M80" s="365">
        <f>$C80/$D80/2</f>
        <v>956.74293583643077</v>
      </c>
      <c r="N80" s="29">
        <f t="shared" si="23"/>
        <v>1913.4858716728615</v>
      </c>
      <c r="O80" s="29">
        <f t="shared" si="23"/>
        <v>1913.4858716728615</v>
      </c>
      <c r="P80"/>
    </row>
    <row r="81" spans="1:16">
      <c r="A81"/>
      <c r="B81" s="3">
        <f t="shared" si="24"/>
        <v>2021</v>
      </c>
      <c r="C81" s="3">
        <v>6329.1968785235304</v>
      </c>
      <c r="D81" s="29">
        <v>3</v>
      </c>
      <c r="E81" s="3"/>
      <c r="F81"/>
      <c r="G81"/>
      <c r="H81"/>
      <c r="I81"/>
      <c r="J81"/>
      <c r="K81"/>
      <c r="L81" s="365"/>
      <c r="M81" s="365"/>
      <c r="N81" s="365">
        <f>$C81/$D81/2</f>
        <v>1054.8661464205884</v>
      </c>
      <c r="O81" s="29">
        <f t="shared" si="23"/>
        <v>2109.7322928411768</v>
      </c>
      <c r="P81"/>
    </row>
    <row r="82" spans="1:16">
      <c r="A82"/>
      <c r="B82" s="3">
        <f t="shared" si="24"/>
        <v>2022</v>
      </c>
      <c r="C82" s="3">
        <v>6677.1218990366251</v>
      </c>
      <c r="D82" s="29">
        <v>3</v>
      </c>
      <c r="E82" s="3"/>
      <c r="F82"/>
      <c r="G82"/>
      <c r="H82"/>
      <c r="I82"/>
      <c r="J82"/>
      <c r="K82"/>
      <c r="L82" s="365"/>
      <c r="M82" s="365"/>
      <c r="N82" s="365"/>
      <c r="O82" s="365">
        <f>$C82/$D82/2</f>
        <v>1112.8536498394376</v>
      </c>
      <c r="P82"/>
    </row>
    <row r="83" spans="1:16">
      <c r="A83"/>
      <c r="B83" s="3"/>
      <c r="C83" s="3"/>
      <c r="D83" s="3"/>
      <c r="E83" s="3"/>
      <c r="F83"/>
      <c r="G83"/>
      <c r="H83"/>
      <c r="I83"/>
      <c r="J83"/>
      <c r="K83"/>
      <c r="L83"/>
      <c r="M83"/>
      <c r="N83"/>
      <c r="O83"/>
      <c r="P83"/>
    </row>
    <row r="84" spans="1:16" ht="15.75" thickBot="1">
      <c r="A84"/>
      <c r="B84" s="46" t="s">
        <v>320</v>
      </c>
      <c r="C84" s="47"/>
      <c r="D84" s="47"/>
      <c r="E84" s="47"/>
      <c r="F84" s="47"/>
      <c r="G84" s="47"/>
      <c r="H84" s="47">
        <f t="shared" ref="H84:N84" si="25">SUM(H72:H82)</f>
        <v>449.93085229286277</v>
      </c>
      <c r="I84" s="47">
        <f t="shared" si="25"/>
        <v>1171.5153459352189</v>
      </c>
      <c r="J84" s="47">
        <f t="shared" si="25"/>
        <v>2087.4729263643067</v>
      </c>
      <c r="K84" s="47">
        <f t="shared" si="25"/>
        <v>3255.4120544065654</v>
      </c>
      <c r="L84" s="47">
        <f t="shared" si="25"/>
        <v>4739.6505125829681</v>
      </c>
      <c r="M84" s="47">
        <f t="shared" si="25"/>
        <v>6525.4967176331375</v>
      </c>
      <c r="N84" s="47">
        <f t="shared" si="25"/>
        <v>8537.105799890156</v>
      </c>
      <c r="O84" s="47">
        <f>SUM(O72:O82)</f>
        <v>10704.825596150182</v>
      </c>
      <c r="P84"/>
    </row>
    <row r="85" spans="1:16" ht="16.5" thickTop="1" thickBot="1">
      <c r="A85"/>
      <c r="B85" s="3"/>
      <c r="C85" s="3"/>
      <c r="D85" s="3"/>
      <c r="E85" s="3"/>
      <c r="F85" s="3"/>
      <c r="G85"/>
      <c r="H85"/>
      <c r="I85"/>
      <c r="J85"/>
      <c r="K85"/>
      <c r="L85"/>
      <c r="M85"/>
      <c r="N85"/>
      <c r="O85"/>
      <c r="P85"/>
    </row>
    <row r="86" spans="1:16" ht="15.75" thickBot="1">
      <c r="A86"/>
      <c r="B86" s="48" t="s">
        <v>24</v>
      </c>
      <c r="C86" s="49"/>
      <c r="D86" s="49"/>
      <c r="E86" s="49"/>
      <c r="F86" s="49"/>
      <c r="G86" s="49"/>
      <c r="H86" s="49">
        <f t="shared" ref="H86:O86" si="26">H84+H67+H50</f>
        <v>2690.8610488695163</v>
      </c>
      <c r="I86" s="49">
        <f t="shared" si="26"/>
        <v>5069.3462106130846</v>
      </c>
      <c r="J86" s="49">
        <f t="shared" si="26"/>
        <v>8088.5234975863787</v>
      </c>
      <c r="K86" s="49">
        <f t="shared" si="26"/>
        <v>11938.28178693936</v>
      </c>
      <c r="L86" s="49">
        <f t="shared" si="26"/>
        <v>16830.625206685076</v>
      </c>
      <c r="M86" s="49">
        <f t="shared" si="26"/>
        <v>22717.127393597591</v>
      </c>
      <c r="N86" s="49">
        <f t="shared" si="26"/>
        <v>29347.788661310937</v>
      </c>
      <c r="O86" s="49">
        <f t="shared" si="26"/>
        <v>36493.021708374879</v>
      </c>
      <c r="P86"/>
    </row>
    <row r="87" spans="1:16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</row>
  </sheetData>
  <mergeCells count="2">
    <mergeCell ref="C4:G4"/>
    <mergeCell ref="H4:O4"/>
  </mergeCells>
  <pageMargins left="0.7" right="0.7" top="0.75" bottom="0.75" header="0.3" footer="0.3"/>
  <pageSetup orientation="portrait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FFF00"/>
  </sheetPr>
  <dimension ref="A1:P16"/>
  <sheetViews>
    <sheetView showGridLines="0" zoomScale="85" zoomScaleNormal="85" workbookViewId="0"/>
  </sheetViews>
  <sheetFormatPr defaultRowHeight="15"/>
  <cols>
    <col min="1" max="1" width="2.28515625" style="262" customWidth="1"/>
    <col min="2" max="2" width="37.5703125" style="262" customWidth="1"/>
    <col min="3" max="4" width="9.140625" style="262"/>
    <col min="5" max="7" width="10" style="262" bestFit="1" customWidth="1"/>
    <col min="8" max="8" width="10.5703125" style="262" bestFit="1" customWidth="1"/>
    <col min="9" max="16" width="11.7109375" style="262" bestFit="1" customWidth="1"/>
    <col min="17" max="258" width="9.140625" style="262"/>
    <col min="259" max="259" width="37.5703125" style="262" customWidth="1"/>
    <col min="260" max="514" width="9.140625" style="262"/>
    <col min="515" max="515" width="37.5703125" style="262" customWidth="1"/>
    <col min="516" max="770" width="9.140625" style="262"/>
    <col min="771" max="771" width="37.5703125" style="262" customWidth="1"/>
    <col min="772" max="1026" width="9.140625" style="262"/>
    <col min="1027" max="1027" width="37.5703125" style="262" customWidth="1"/>
    <col min="1028" max="1282" width="9.140625" style="262"/>
    <col min="1283" max="1283" width="37.5703125" style="262" customWidth="1"/>
    <col min="1284" max="1538" width="9.140625" style="262"/>
    <col min="1539" max="1539" width="37.5703125" style="262" customWidth="1"/>
    <col min="1540" max="1794" width="9.140625" style="262"/>
    <col min="1795" max="1795" width="37.5703125" style="262" customWidth="1"/>
    <col min="1796" max="2050" width="9.140625" style="262"/>
    <col min="2051" max="2051" width="37.5703125" style="262" customWidth="1"/>
    <col min="2052" max="2306" width="9.140625" style="262"/>
    <col min="2307" max="2307" width="37.5703125" style="262" customWidth="1"/>
    <col min="2308" max="2562" width="9.140625" style="262"/>
    <col min="2563" max="2563" width="37.5703125" style="262" customWidth="1"/>
    <col min="2564" max="2818" width="9.140625" style="262"/>
    <col min="2819" max="2819" width="37.5703125" style="262" customWidth="1"/>
    <col min="2820" max="3074" width="9.140625" style="262"/>
    <col min="3075" max="3075" width="37.5703125" style="262" customWidth="1"/>
    <col min="3076" max="3330" width="9.140625" style="262"/>
    <col min="3331" max="3331" width="37.5703125" style="262" customWidth="1"/>
    <col min="3332" max="3586" width="9.140625" style="262"/>
    <col min="3587" max="3587" width="37.5703125" style="262" customWidth="1"/>
    <col min="3588" max="3842" width="9.140625" style="262"/>
    <col min="3843" max="3843" width="37.5703125" style="262" customWidth="1"/>
    <col min="3844" max="4098" width="9.140625" style="262"/>
    <col min="4099" max="4099" width="37.5703125" style="262" customWidth="1"/>
    <col min="4100" max="4354" width="9.140625" style="262"/>
    <col min="4355" max="4355" width="37.5703125" style="262" customWidth="1"/>
    <col min="4356" max="4610" width="9.140625" style="262"/>
    <col min="4611" max="4611" width="37.5703125" style="262" customWidth="1"/>
    <col min="4612" max="4866" width="9.140625" style="262"/>
    <col min="4867" max="4867" width="37.5703125" style="262" customWidth="1"/>
    <col min="4868" max="5122" width="9.140625" style="262"/>
    <col min="5123" max="5123" width="37.5703125" style="262" customWidth="1"/>
    <col min="5124" max="5378" width="9.140625" style="262"/>
    <col min="5379" max="5379" width="37.5703125" style="262" customWidth="1"/>
    <col min="5380" max="5634" width="9.140625" style="262"/>
    <col min="5635" max="5635" width="37.5703125" style="262" customWidth="1"/>
    <col min="5636" max="5890" width="9.140625" style="262"/>
    <col min="5891" max="5891" width="37.5703125" style="262" customWidth="1"/>
    <col min="5892" max="6146" width="9.140625" style="262"/>
    <col min="6147" max="6147" width="37.5703125" style="262" customWidth="1"/>
    <col min="6148" max="6402" width="9.140625" style="262"/>
    <col min="6403" max="6403" width="37.5703125" style="262" customWidth="1"/>
    <col min="6404" max="6658" width="9.140625" style="262"/>
    <col min="6659" max="6659" width="37.5703125" style="262" customWidth="1"/>
    <col min="6660" max="6914" width="9.140625" style="262"/>
    <col min="6915" max="6915" width="37.5703125" style="262" customWidth="1"/>
    <col min="6916" max="7170" width="9.140625" style="262"/>
    <col min="7171" max="7171" width="37.5703125" style="262" customWidth="1"/>
    <col min="7172" max="7426" width="9.140625" style="262"/>
    <col min="7427" max="7427" width="37.5703125" style="262" customWidth="1"/>
    <col min="7428" max="7682" width="9.140625" style="262"/>
    <col min="7683" max="7683" width="37.5703125" style="262" customWidth="1"/>
    <col min="7684" max="7938" width="9.140625" style="262"/>
    <col min="7939" max="7939" width="37.5703125" style="262" customWidth="1"/>
    <col min="7940" max="8194" width="9.140625" style="262"/>
    <col min="8195" max="8195" width="37.5703125" style="262" customWidth="1"/>
    <col min="8196" max="8450" width="9.140625" style="262"/>
    <col min="8451" max="8451" width="37.5703125" style="262" customWidth="1"/>
    <col min="8452" max="8706" width="9.140625" style="262"/>
    <col min="8707" max="8707" width="37.5703125" style="262" customWidth="1"/>
    <col min="8708" max="8962" width="9.140625" style="262"/>
    <col min="8963" max="8963" width="37.5703125" style="262" customWidth="1"/>
    <col min="8964" max="9218" width="9.140625" style="262"/>
    <col min="9219" max="9219" width="37.5703125" style="262" customWidth="1"/>
    <col min="9220" max="9474" width="9.140625" style="262"/>
    <col min="9475" max="9475" width="37.5703125" style="262" customWidth="1"/>
    <col min="9476" max="9730" width="9.140625" style="262"/>
    <col min="9731" max="9731" width="37.5703125" style="262" customWidth="1"/>
    <col min="9732" max="9986" width="9.140625" style="262"/>
    <col min="9987" max="9987" width="37.5703125" style="262" customWidth="1"/>
    <col min="9988" max="10242" width="9.140625" style="262"/>
    <col min="10243" max="10243" width="37.5703125" style="262" customWidth="1"/>
    <col min="10244" max="10498" width="9.140625" style="262"/>
    <col min="10499" max="10499" width="37.5703125" style="262" customWidth="1"/>
    <col min="10500" max="10754" width="9.140625" style="262"/>
    <col min="10755" max="10755" width="37.5703125" style="262" customWidth="1"/>
    <col min="10756" max="11010" width="9.140625" style="262"/>
    <col min="11011" max="11011" width="37.5703125" style="262" customWidth="1"/>
    <col min="11012" max="11266" width="9.140625" style="262"/>
    <col min="11267" max="11267" width="37.5703125" style="262" customWidth="1"/>
    <col min="11268" max="11522" width="9.140625" style="262"/>
    <col min="11523" max="11523" width="37.5703125" style="262" customWidth="1"/>
    <col min="11524" max="11778" width="9.140625" style="262"/>
    <col min="11779" max="11779" width="37.5703125" style="262" customWidth="1"/>
    <col min="11780" max="12034" width="9.140625" style="262"/>
    <col min="12035" max="12035" width="37.5703125" style="262" customWidth="1"/>
    <col min="12036" max="12290" width="9.140625" style="262"/>
    <col min="12291" max="12291" width="37.5703125" style="262" customWidth="1"/>
    <col min="12292" max="12546" width="9.140625" style="262"/>
    <col min="12547" max="12547" width="37.5703125" style="262" customWidth="1"/>
    <col min="12548" max="12802" width="9.140625" style="262"/>
    <col min="12803" max="12803" width="37.5703125" style="262" customWidth="1"/>
    <col min="12804" max="13058" width="9.140625" style="262"/>
    <col min="13059" max="13059" width="37.5703125" style="262" customWidth="1"/>
    <col min="13060" max="13314" width="9.140625" style="262"/>
    <col min="13315" max="13315" width="37.5703125" style="262" customWidth="1"/>
    <col min="13316" max="13570" width="9.140625" style="262"/>
    <col min="13571" max="13571" width="37.5703125" style="262" customWidth="1"/>
    <col min="13572" max="13826" width="9.140625" style="262"/>
    <col min="13827" max="13827" width="37.5703125" style="262" customWidth="1"/>
    <col min="13828" max="14082" width="9.140625" style="262"/>
    <col min="14083" max="14083" width="37.5703125" style="262" customWidth="1"/>
    <col min="14084" max="14338" width="9.140625" style="262"/>
    <col min="14339" max="14339" width="37.5703125" style="262" customWidth="1"/>
    <col min="14340" max="14594" width="9.140625" style="262"/>
    <col min="14595" max="14595" width="37.5703125" style="262" customWidth="1"/>
    <col min="14596" max="14850" width="9.140625" style="262"/>
    <col min="14851" max="14851" width="37.5703125" style="262" customWidth="1"/>
    <col min="14852" max="15106" width="9.140625" style="262"/>
    <col min="15107" max="15107" width="37.5703125" style="262" customWidth="1"/>
    <col min="15108" max="15362" width="9.140625" style="262"/>
    <col min="15363" max="15363" width="37.5703125" style="262" customWidth="1"/>
    <col min="15364" max="15618" width="9.140625" style="262"/>
    <col min="15619" max="15619" width="37.5703125" style="262" customWidth="1"/>
    <col min="15620" max="15874" width="9.140625" style="262"/>
    <col min="15875" max="15875" width="37.5703125" style="262" customWidth="1"/>
    <col min="15876" max="16130" width="9.140625" style="262"/>
    <col min="16131" max="16131" width="37.5703125" style="262" customWidth="1"/>
    <col min="16132" max="16384" width="9.140625" style="262"/>
  </cols>
  <sheetData>
    <row r="1" spans="1:16" s="258" customFormat="1" ht="32.25">
      <c r="A1" s="261" t="str">
        <f>Index!A1</f>
        <v>Alibaba IPO</v>
      </c>
      <c r="B1" s="257"/>
      <c r="C1" s="257"/>
      <c r="D1" s="257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  <c r="P1" s="257"/>
    </row>
    <row r="2" spans="1:16" s="258" customFormat="1" ht="23.25">
      <c r="A2" s="277" t="s">
        <v>37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</row>
    <row r="3" spans="1:16" s="269" customFormat="1" ht="23.25">
      <c r="A3" s="2">
        <f>IS!A3</f>
        <v>0</v>
      </c>
      <c r="B3" s="8"/>
      <c r="C3" s="10"/>
      <c r="D3" s="9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</row>
    <row r="4" spans="1:16" s="269" customFormat="1" ht="18" customHeight="1">
      <c r="A4" s="2"/>
      <c r="B4" s="403"/>
      <c r="C4" s="422" t="s">
        <v>101</v>
      </c>
      <c r="D4" s="422"/>
      <c r="E4" s="422"/>
      <c r="F4" s="422"/>
      <c r="G4" s="422"/>
      <c r="H4" s="422" t="s">
        <v>102</v>
      </c>
      <c r="I4" s="422"/>
      <c r="J4" s="422"/>
      <c r="K4" s="422"/>
      <c r="L4" s="422"/>
      <c r="M4" s="422"/>
      <c r="N4" s="422"/>
      <c r="O4" s="422"/>
      <c r="P4" s="8"/>
    </row>
    <row r="5" spans="1:16" s="269" customFormat="1" ht="15.75" thickBot="1">
      <c r="A5" s="8"/>
      <c r="B5" s="165" t="s">
        <v>217</v>
      </c>
      <c r="C5" s="11">
        <f>BS!C4</f>
        <v>40268</v>
      </c>
      <c r="D5" s="11">
        <f>BS!D4</f>
        <v>40633</v>
      </c>
      <c r="E5" s="11">
        <f>BS!E4</f>
        <v>40999</v>
      </c>
      <c r="F5" s="11">
        <f>BS!F4</f>
        <v>41364</v>
      </c>
      <c r="G5" s="11">
        <f>BS!G4</f>
        <v>41729</v>
      </c>
      <c r="H5" s="11">
        <f>BS!H4</f>
        <v>42094</v>
      </c>
      <c r="I5" s="11">
        <f>BS!I4</f>
        <v>42460</v>
      </c>
      <c r="J5" s="11">
        <f>BS!J4</f>
        <v>42825</v>
      </c>
      <c r="K5" s="11">
        <f>BS!K4</f>
        <v>43190</v>
      </c>
      <c r="L5" s="11">
        <f>BS!L4</f>
        <v>43555</v>
      </c>
      <c r="M5" s="11">
        <f>BS!M4</f>
        <v>43921</v>
      </c>
      <c r="N5" s="11">
        <f>BS!N4</f>
        <v>44286</v>
      </c>
      <c r="O5" s="11">
        <f>BS!O4</f>
        <v>44651</v>
      </c>
      <c r="P5" s="8"/>
    </row>
    <row r="6" spans="1:16">
      <c r="A6"/>
      <c r="B6" s="3" t="s">
        <v>2</v>
      </c>
      <c r="C6" s="50">
        <f>IS!C12</f>
        <v>6670</v>
      </c>
      <c r="D6" s="50">
        <f>IS!D12</f>
        <v>11903</v>
      </c>
      <c r="E6" s="50">
        <f>IS!E12</f>
        <v>20025</v>
      </c>
      <c r="F6" s="50">
        <f>IS!F12</f>
        <v>34517</v>
      </c>
      <c r="G6" s="50">
        <f>IS!G12</f>
        <v>55149.91</v>
      </c>
      <c r="H6" s="50">
        <f>IS!H12</f>
        <v>68330.66</v>
      </c>
      <c r="I6" s="50">
        <f>IS!I12</f>
        <v>86510.946400000001</v>
      </c>
      <c r="J6" s="50">
        <f>IS!J12</f>
        <v>110040.31599200002</v>
      </c>
      <c r="K6" s="50">
        <f>IS!K12</f>
        <v>140582.54571976003</v>
      </c>
      <c r="L6" s="50">
        <f>IS!L12</f>
        <v>177913.58213439761</v>
      </c>
      <c r="M6" s="50">
        <f>IS!M12</f>
        <v>205303.21036830725</v>
      </c>
      <c r="N6" s="50">
        <f>IS!N12</f>
        <v>226359.03360985673</v>
      </c>
      <c r="O6" s="50">
        <f>IS!O12</f>
        <v>238802.31400128704</v>
      </c>
      <c r="P6"/>
    </row>
    <row r="7" spans="1:16">
      <c r="A7"/>
      <c r="B7" s="3" t="s">
        <v>25</v>
      </c>
      <c r="C7" s="51"/>
      <c r="D7" s="51"/>
      <c r="E7" s="51"/>
      <c r="F7" s="19">
        <f>(242-240+630-608+319-257+40-20)</f>
        <v>106</v>
      </c>
      <c r="G7" s="19">
        <f>246-242+626-630+855-319+973-40</f>
        <v>1469</v>
      </c>
      <c r="H7" s="19">
        <f t="shared" ref="H7:O7" si="0">H8*H6</f>
        <v>2391.5731000000005</v>
      </c>
      <c r="I7" s="19">
        <f t="shared" si="0"/>
        <v>3027.8831240000004</v>
      </c>
      <c r="J7" s="19">
        <f t="shared" si="0"/>
        <v>3851.411059720001</v>
      </c>
      <c r="K7" s="19">
        <f t="shared" si="0"/>
        <v>4920.3891001916018</v>
      </c>
      <c r="L7" s="19">
        <f t="shared" si="0"/>
        <v>6226.9753747039167</v>
      </c>
      <c r="M7" s="19">
        <f t="shared" si="0"/>
        <v>7185.6123628907544</v>
      </c>
      <c r="N7" s="19">
        <f t="shared" si="0"/>
        <v>7922.5661763449862</v>
      </c>
      <c r="O7" s="19">
        <f t="shared" si="0"/>
        <v>8358.0809900450477</v>
      </c>
      <c r="P7"/>
    </row>
    <row r="8" spans="1:16">
      <c r="A8"/>
      <c r="B8" s="25" t="s">
        <v>26</v>
      </c>
      <c r="C8" s="26"/>
      <c r="D8" s="65"/>
      <c r="E8" s="65"/>
      <c r="F8" s="16">
        <f>F7/F6</f>
        <v>3.0709505461077148E-3</v>
      </c>
      <c r="G8" s="16">
        <f>G7/G6</f>
        <v>2.6636489524642922E-2</v>
      </c>
      <c r="H8" s="367">
        <v>3.5000000000000003E-2</v>
      </c>
      <c r="I8" s="367">
        <v>3.5000000000000003E-2</v>
      </c>
      <c r="J8" s="367">
        <v>3.5000000000000003E-2</v>
      </c>
      <c r="K8" s="367">
        <v>3.5000000000000003E-2</v>
      </c>
      <c r="L8" s="367">
        <v>3.5000000000000003E-2</v>
      </c>
      <c r="M8" s="367">
        <v>3.5000000000000003E-2</v>
      </c>
      <c r="N8" s="367">
        <v>3.5000000000000003E-2</v>
      </c>
      <c r="O8" s="367">
        <v>3.5000000000000003E-2</v>
      </c>
      <c r="P8"/>
    </row>
    <row r="9" spans="1:16">
      <c r="A9"/>
      <c r="B9" s="3"/>
      <c r="C9" s="3"/>
      <c r="D9" s="3"/>
      <c r="E9"/>
      <c r="F9"/>
      <c r="G9"/>
      <c r="H9"/>
      <c r="I9"/>
      <c r="J9"/>
      <c r="K9"/>
      <c r="L9"/>
      <c r="M9"/>
      <c r="N9"/>
      <c r="O9"/>
      <c r="P9"/>
    </row>
    <row r="10" spans="1:16">
      <c r="A10"/>
      <c r="B10" s="3" t="s">
        <v>27</v>
      </c>
      <c r="C10" s="52"/>
      <c r="D10" s="133"/>
      <c r="E10" s="133"/>
      <c r="F10" s="53"/>
      <c r="G10" s="53"/>
      <c r="H10" s="53">
        <f t="shared" ref="H10:O10" si="1">G14</f>
        <v>1610</v>
      </c>
      <c r="I10" s="53">
        <f t="shared" si="1"/>
        <v>3930.5731000000005</v>
      </c>
      <c r="J10" s="53">
        <f t="shared" si="1"/>
        <v>6916.4562240000014</v>
      </c>
      <c r="K10" s="53">
        <f t="shared" si="1"/>
        <v>10737.867283720003</v>
      </c>
      <c r="L10" s="53">
        <f t="shared" si="1"/>
        <v>15632.256383911605</v>
      </c>
      <c r="M10" s="53">
        <f t="shared" si="1"/>
        <v>21813.231758615522</v>
      </c>
      <c r="N10" s="53">
        <f t="shared" si="1"/>
        <v>28948.844121506278</v>
      </c>
      <c r="O10" s="53">
        <f t="shared" si="1"/>
        <v>36821.410297851267</v>
      </c>
      <c r="P10"/>
    </row>
    <row r="11" spans="1:16">
      <c r="A11"/>
      <c r="B11" s="3" t="s">
        <v>25</v>
      </c>
      <c r="C11" s="52"/>
      <c r="D11" s="133"/>
      <c r="E11" s="133"/>
      <c r="F11" s="53"/>
      <c r="G11" s="53"/>
      <c r="H11" s="53">
        <f t="shared" ref="H11:O11" si="2">H7</f>
        <v>2391.5731000000005</v>
      </c>
      <c r="I11" s="53">
        <f t="shared" si="2"/>
        <v>3027.8831240000004</v>
      </c>
      <c r="J11" s="53">
        <f t="shared" si="2"/>
        <v>3851.411059720001</v>
      </c>
      <c r="K11" s="53">
        <f t="shared" si="2"/>
        <v>4920.3891001916018</v>
      </c>
      <c r="L11" s="53">
        <f t="shared" si="2"/>
        <v>6226.9753747039167</v>
      </c>
      <c r="M11" s="53">
        <f t="shared" si="2"/>
        <v>7185.6123628907544</v>
      </c>
      <c r="N11" s="53">
        <f t="shared" si="2"/>
        <v>7922.5661763449862</v>
      </c>
      <c r="O11" s="53">
        <f t="shared" si="2"/>
        <v>8358.0809900450477</v>
      </c>
      <c r="P11"/>
    </row>
    <row r="12" spans="1:16">
      <c r="A12"/>
      <c r="B12" s="3" t="s">
        <v>28</v>
      </c>
      <c r="C12" s="52"/>
      <c r="D12" s="134"/>
      <c r="E12" s="134"/>
      <c r="F12" s="83"/>
      <c r="G12" s="83"/>
      <c r="H12" s="83">
        <v>-71</v>
      </c>
      <c r="I12" s="83">
        <v>-42</v>
      </c>
      <c r="J12" s="83">
        <v>-30</v>
      </c>
      <c r="K12" s="83">
        <v>-26</v>
      </c>
      <c r="L12" s="83">
        <v>-46</v>
      </c>
      <c r="M12" s="380">
        <v>-50</v>
      </c>
      <c r="N12" s="380">
        <v>-50</v>
      </c>
      <c r="O12" s="380">
        <v>-50</v>
      </c>
      <c r="P12"/>
    </row>
    <row r="13" spans="1:16">
      <c r="A13"/>
      <c r="B13" s="3" t="s">
        <v>29</v>
      </c>
      <c r="C13" s="52"/>
      <c r="D13" s="135"/>
      <c r="E13" s="135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/>
    </row>
    <row r="14" spans="1:16" ht="15.75" thickBot="1">
      <c r="A14"/>
      <c r="B14" s="37" t="s">
        <v>30</v>
      </c>
      <c r="C14" s="404"/>
      <c r="D14" s="240"/>
      <c r="E14" s="240"/>
      <c r="F14" s="240"/>
      <c r="G14" s="240">
        <f>BS!G21</f>
        <v>1610</v>
      </c>
      <c r="H14" s="240">
        <f t="shared" ref="H14:O14" si="3">SUM(H10:H13)</f>
        <v>3930.5731000000005</v>
      </c>
      <c r="I14" s="240">
        <f t="shared" si="3"/>
        <v>6916.4562240000014</v>
      </c>
      <c r="J14" s="240">
        <f t="shared" si="3"/>
        <v>10737.867283720003</v>
      </c>
      <c r="K14" s="240">
        <f t="shared" si="3"/>
        <v>15632.256383911605</v>
      </c>
      <c r="L14" s="240">
        <f t="shared" si="3"/>
        <v>21813.231758615522</v>
      </c>
      <c r="M14" s="240">
        <f t="shared" si="3"/>
        <v>28948.844121506278</v>
      </c>
      <c r="N14" s="240">
        <f t="shared" si="3"/>
        <v>36821.410297851267</v>
      </c>
      <c r="O14" s="240">
        <f t="shared" si="3"/>
        <v>45129.491287896315</v>
      </c>
      <c r="P14"/>
    </row>
    <row r="15" spans="1:16" ht="15.75" thickTop="1">
      <c r="A15"/>
      <c r="B15" s="3"/>
      <c r="C15" s="3"/>
      <c r="D15" s="3"/>
      <c r="E15" s="3"/>
      <c r="F15" s="3"/>
      <c r="G15"/>
      <c r="H15" s="375"/>
      <c r="I15"/>
      <c r="J15"/>
      <c r="K15"/>
      <c r="L15"/>
      <c r="M15"/>
      <c r="N15"/>
      <c r="O15"/>
      <c r="P15"/>
    </row>
    <row r="16" spans="1:16">
      <c r="B16" s="266"/>
      <c r="C16" s="282"/>
      <c r="D16" s="282"/>
      <c r="E16" s="282"/>
      <c r="F16" s="282"/>
      <c r="G16" s="283"/>
      <c r="H16" s="283"/>
    </row>
  </sheetData>
  <mergeCells count="2">
    <mergeCell ref="C4:G4"/>
    <mergeCell ref="H4:O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FFFF00"/>
  </sheetPr>
  <dimension ref="A1:P46"/>
  <sheetViews>
    <sheetView showGridLines="0" zoomScale="85" zoomScaleNormal="85" workbookViewId="0">
      <pane xSplit="2" ySplit="5" topLeftCell="C12" activePane="bottomRight" state="frozen"/>
      <selection pane="topRight" activeCell="C1" sqref="C1"/>
      <selection pane="bottomLeft" activeCell="A6" sqref="A6"/>
      <selection pane="bottomRight"/>
    </sheetView>
  </sheetViews>
  <sheetFormatPr defaultRowHeight="14.25"/>
  <cols>
    <col min="1" max="1" width="2.85546875" style="266" customWidth="1"/>
    <col min="2" max="2" width="41.28515625" style="266" bestFit="1" customWidth="1"/>
    <col min="3" max="3" width="9.140625" style="266"/>
    <col min="4" max="4" width="10.28515625" style="266" bestFit="1" customWidth="1"/>
    <col min="5" max="5" width="12.85546875" style="266" bestFit="1" customWidth="1"/>
    <col min="6" max="7" width="12.85546875" style="266" customWidth="1"/>
    <col min="8" max="9" width="12.85546875" style="266" bestFit="1" customWidth="1"/>
    <col min="10" max="11" width="14.28515625" style="266" bestFit="1" customWidth="1"/>
    <col min="12" max="15" width="12.42578125" style="266" bestFit="1" customWidth="1"/>
    <col min="16" max="256" width="9.140625" style="266"/>
    <col min="257" max="257" width="41.28515625" style="266" bestFit="1" customWidth="1"/>
    <col min="258" max="259" width="9.140625" style="266"/>
    <col min="260" max="260" width="7.7109375" style="266" bestFit="1" customWidth="1"/>
    <col min="261" max="261" width="13.140625" style="266" customWidth="1"/>
    <col min="262" max="512" width="9.140625" style="266"/>
    <col min="513" max="513" width="41.28515625" style="266" bestFit="1" customWidth="1"/>
    <col min="514" max="515" width="9.140625" style="266"/>
    <col min="516" max="516" width="7.7109375" style="266" bestFit="1" customWidth="1"/>
    <col min="517" max="517" width="13.140625" style="266" customWidth="1"/>
    <col min="518" max="768" width="9.140625" style="266"/>
    <col min="769" max="769" width="41.28515625" style="266" bestFit="1" customWidth="1"/>
    <col min="770" max="771" width="9.140625" style="266"/>
    <col min="772" max="772" width="7.7109375" style="266" bestFit="1" customWidth="1"/>
    <col min="773" max="773" width="13.140625" style="266" customWidth="1"/>
    <col min="774" max="1024" width="9.140625" style="266"/>
    <col min="1025" max="1025" width="41.28515625" style="266" bestFit="1" customWidth="1"/>
    <col min="1026" max="1027" width="9.140625" style="266"/>
    <col min="1028" max="1028" width="7.7109375" style="266" bestFit="1" customWidth="1"/>
    <col min="1029" max="1029" width="13.140625" style="266" customWidth="1"/>
    <col min="1030" max="1280" width="9.140625" style="266"/>
    <col min="1281" max="1281" width="41.28515625" style="266" bestFit="1" customWidth="1"/>
    <col min="1282" max="1283" width="9.140625" style="266"/>
    <col min="1284" max="1284" width="7.7109375" style="266" bestFit="1" customWidth="1"/>
    <col min="1285" max="1285" width="13.140625" style="266" customWidth="1"/>
    <col min="1286" max="1536" width="9.140625" style="266"/>
    <col min="1537" max="1537" width="41.28515625" style="266" bestFit="1" customWidth="1"/>
    <col min="1538" max="1539" width="9.140625" style="266"/>
    <col min="1540" max="1540" width="7.7109375" style="266" bestFit="1" customWidth="1"/>
    <col min="1541" max="1541" width="13.140625" style="266" customWidth="1"/>
    <col min="1542" max="1792" width="9.140625" style="266"/>
    <col min="1793" max="1793" width="41.28515625" style="266" bestFit="1" customWidth="1"/>
    <col min="1794" max="1795" width="9.140625" style="266"/>
    <col min="1796" max="1796" width="7.7109375" style="266" bestFit="1" customWidth="1"/>
    <col min="1797" max="1797" width="13.140625" style="266" customWidth="1"/>
    <col min="1798" max="2048" width="9.140625" style="266"/>
    <col min="2049" max="2049" width="41.28515625" style="266" bestFit="1" customWidth="1"/>
    <col min="2050" max="2051" width="9.140625" style="266"/>
    <col min="2052" max="2052" width="7.7109375" style="266" bestFit="1" customWidth="1"/>
    <col min="2053" max="2053" width="13.140625" style="266" customWidth="1"/>
    <col min="2054" max="2304" width="9.140625" style="266"/>
    <col min="2305" max="2305" width="41.28515625" style="266" bestFit="1" customWidth="1"/>
    <col min="2306" max="2307" width="9.140625" style="266"/>
    <col min="2308" max="2308" width="7.7109375" style="266" bestFit="1" customWidth="1"/>
    <col min="2309" max="2309" width="13.140625" style="266" customWidth="1"/>
    <col min="2310" max="2560" width="9.140625" style="266"/>
    <col min="2561" max="2561" width="41.28515625" style="266" bestFit="1" customWidth="1"/>
    <col min="2562" max="2563" width="9.140625" style="266"/>
    <col min="2564" max="2564" width="7.7109375" style="266" bestFit="1" customWidth="1"/>
    <col min="2565" max="2565" width="13.140625" style="266" customWidth="1"/>
    <col min="2566" max="2816" width="9.140625" style="266"/>
    <col min="2817" max="2817" width="41.28515625" style="266" bestFit="1" customWidth="1"/>
    <col min="2818" max="2819" width="9.140625" style="266"/>
    <col min="2820" max="2820" width="7.7109375" style="266" bestFit="1" customWidth="1"/>
    <col min="2821" max="2821" width="13.140625" style="266" customWidth="1"/>
    <col min="2822" max="3072" width="9.140625" style="266"/>
    <col min="3073" max="3073" width="41.28515625" style="266" bestFit="1" customWidth="1"/>
    <col min="3074" max="3075" width="9.140625" style="266"/>
    <col min="3076" max="3076" width="7.7109375" style="266" bestFit="1" customWidth="1"/>
    <col min="3077" max="3077" width="13.140625" style="266" customWidth="1"/>
    <col min="3078" max="3328" width="9.140625" style="266"/>
    <col min="3329" max="3329" width="41.28515625" style="266" bestFit="1" customWidth="1"/>
    <col min="3330" max="3331" width="9.140625" style="266"/>
    <col min="3332" max="3332" width="7.7109375" style="266" bestFit="1" customWidth="1"/>
    <col min="3333" max="3333" width="13.140625" style="266" customWidth="1"/>
    <col min="3334" max="3584" width="9.140625" style="266"/>
    <col min="3585" max="3585" width="41.28515625" style="266" bestFit="1" customWidth="1"/>
    <col min="3586" max="3587" width="9.140625" style="266"/>
    <col min="3588" max="3588" width="7.7109375" style="266" bestFit="1" customWidth="1"/>
    <col min="3589" max="3589" width="13.140625" style="266" customWidth="1"/>
    <col min="3590" max="3840" width="9.140625" style="266"/>
    <col min="3841" max="3841" width="41.28515625" style="266" bestFit="1" customWidth="1"/>
    <col min="3842" max="3843" width="9.140625" style="266"/>
    <col min="3844" max="3844" width="7.7109375" style="266" bestFit="1" customWidth="1"/>
    <col min="3845" max="3845" width="13.140625" style="266" customWidth="1"/>
    <col min="3846" max="4096" width="9.140625" style="266"/>
    <col min="4097" max="4097" width="41.28515625" style="266" bestFit="1" customWidth="1"/>
    <col min="4098" max="4099" width="9.140625" style="266"/>
    <col min="4100" max="4100" width="7.7109375" style="266" bestFit="1" customWidth="1"/>
    <col min="4101" max="4101" width="13.140625" style="266" customWidth="1"/>
    <col min="4102" max="4352" width="9.140625" style="266"/>
    <col min="4353" max="4353" width="41.28515625" style="266" bestFit="1" customWidth="1"/>
    <col min="4354" max="4355" width="9.140625" style="266"/>
    <col min="4356" max="4356" width="7.7109375" style="266" bestFit="1" customWidth="1"/>
    <col min="4357" max="4357" width="13.140625" style="266" customWidth="1"/>
    <col min="4358" max="4608" width="9.140625" style="266"/>
    <col min="4609" max="4609" width="41.28515625" style="266" bestFit="1" customWidth="1"/>
    <col min="4610" max="4611" width="9.140625" style="266"/>
    <col min="4612" max="4612" width="7.7109375" style="266" bestFit="1" customWidth="1"/>
    <col min="4613" max="4613" width="13.140625" style="266" customWidth="1"/>
    <col min="4614" max="4864" width="9.140625" style="266"/>
    <col min="4865" max="4865" width="41.28515625" style="266" bestFit="1" customWidth="1"/>
    <col min="4866" max="4867" width="9.140625" style="266"/>
    <col min="4868" max="4868" width="7.7109375" style="266" bestFit="1" customWidth="1"/>
    <col min="4869" max="4869" width="13.140625" style="266" customWidth="1"/>
    <col min="4870" max="5120" width="9.140625" style="266"/>
    <col min="5121" max="5121" width="41.28515625" style="266" bestFit="1" customWidth="1"/>
    <col min="5122" max="5123" width="9.140625" style="266"/>
    <col min="5124" max="5124" width="7.7109375" style="266" bestFit="1" customWidth="1"/>
    <col min="5125" max="5125" width="13.140625" style="266" customWidth="1"/>
    <col min="5126" max="5376" width="9.140625" style="266"/>
    <col min="5377" max="5377" width="41.28515625" style="266" bestFit="1" customWidth="1"/>
    <col min="5378" max="5379" width="9.140625" style="266"/>
    <col min="5380" max="5380" width="7.7109375" style="266" bestFit="1" customWidth="1"/>
    <col min="5381" max="5381" width="13.140625" style="266" customWidth="1"/>
    <col min="5382" max="5632" width="9.140625" style="266"/>
    <col min="5633" max="5633" width="41.28515625" style="266" bestFit="1" customWidth="1"/>
    <col min="5634" max="5635" width="9.140625" style="266"/>
    <col min="5636" max="5636" width="7.7109375" style="266" bestFit="1" customWidth="1"/>
    <col min="5637" max="5637" width="13.140625" style="266" customWidth="1"/>
    <col min="5638" max="5888" width="9.140625" style="266"/>
    <col min="5889" max="5889" width="41.28515625" style="266" bestFit="1" customWidth="1"/>
    <col min="5890" max="5891" width="9.140625" style="266"/>
    <col min="5892" max="5892" width="7.7109375" style="266" bestFit="1" customWidth="1"/>
    <col min="5893" max="5893" width="13.140625" style="266" customWidth="1"/>
    <col min="5894" max="6144" width="9.140625" style="266"/>
    <col min="6145" max="6145" width="41.28515625" style="266" bestFit="1" customWidth="1"/>
    <col min="6146" max="6147" width="9.140625" style="266"/>
    <col min="6148" max="6148" width="7.7109375" style="266" bestFit="1" customWidth="1"/>
    <col min="6149" max="6149" width="13.140625" style="266" customWidth="1"/>
    <col min="6150" max="6400" width="9.140625" style="266"/>
    <col min="6401" max="6401" width="41.28515625" style="266" bestFit="1" customWidth="1"/>
    <col min="6402" max="6403" width="9.140625" style="266"/>
    <col min="6404" max="6404" width="7.7109375" style="266" bestFit="1" customWidth="1"/>
    <col min="6405" max="6405" width="13.140625" style="266" customWidth="1"/>
    <col min="6406" max="6656" width="9.140625" style="266"/>
    <col min="6657" max="6657" width="41.28515625" style="266" bestFit="1" customWidth="1"/>
    <col min="6658" max="6659" width="9.140625" style="266"/>
    <col min="6660" max="6660" width="7.7109375" style="266" bestFit="1" customWidth="1"/>
    <col min="6661" max="6661" width="13.140625" style="266" customWidth="1"/>
    <col min="6662" max="6912" width="9.140625" style="266"/>
    <col min="6913" max="6913" width="41.28515625" style="266" bestFit="1" customWidth="1"/>
    <col min="6914" max="6915" width="9.140625" style="266"/>
    <col min="6916" max="6916" width="7.7109375" style="266" bestFit="1" customWidth="1"/>
    <col min="6917" max="6917" width="13.140625" style="266" customWidth="1"/>
    <col min="6918" max="7168" width="9.140625" style="266"/>
    <col min="7169" max="7169" width="41.28515625" style="266" bestFit="1" customWidth="1"/>
    <col min="7170" max="7171" width="9.140625" style="266"/>
    <col min="7172" max="7172" width="7.7109375" style="266" bestFit="1" customWidth="1"/>
    <col min="7173" max="7173" width="13.140625" style="266" customWidth="1"/>
    <col min="7174" max="7424" width="9.140625" style="266"/>
    <col min="7425" max="7425" width="41.28515625" style="266" bestFit="1" customWidth="1"/>
    <col min="7426" max="7427" width="9.140625" style="266"/>
    <col min="7428" max="7428" width="7.7109375" style="266" bestFit="1" customWidth="1"/>
    <col min="7429" max="7429" width="13.140625" style="266" customWidth="1"/>
    <col min="7430" max="7680" width="9.140625" style="266"/>
    <col min="7681" max="7681" width="41.28515625" style="266" bestFit="1" customWidth="1"/>
    <col min="7682" max="7683" width="9.140625" style="266"/>
    <col min="7684" max="7684" width="7.7109375" style="266" bestFit="1" customWidth="1"/>
    <col min="7685" max="7685" width="13.140625" style="266" customWidth="1"/>
    <col min="7686" max="7936" width="9.140625" style="266"/>
    <col min="7937" max="7937" width="41.28515625" style="266" bestFit="1" customWidth="1"/>
    <col min="7938" max="7939" width="9.140625" style="266"/>
    <col min="7940" max="7940" width="7.7109375" style="266" bestFit="1" customWidth="1"/>
    <col min="7941" max="7941" width="13.140625" style="266" customWidth="1"/>
    <col min="7942" max="8192" width="9.140625" style="266"/>
    <col min="8193" max="8193" width="41.28515625" style="266" bestFit="1" customWidth="1"/>
    <col min="8194" max="8195" width="9.140625" style="266"/>
    <col min="8196" max="8196" width="7.7109375" style="266" bestFit="1" customWidth="1"/>
    <col min="8197" max="8197" width="13.140625" style="266" customWidth="1"/>
    <col min="8198" max="8448" width="9.140625" style="266"/>
    <col min="8449" max="8449" width="41.28515625" style="266" bestFit="1" customWidth="1"/>
    <col min="8450" max="8451" width="9.140625" style="266"/>
    <col min="8452" max="8452" width="7.7109375" style="266" bestFit="1" customWidth="1"/>
    <col min="8453" max="8453" width="13.140625" style="266" customWidth="1"/>
    <col min="8454" max="8704" width="9.140625" style="266"/>
    <col min="8705" max="8705" width="41.28515625" style="266" bestFit="1" customWidth="1"/>
    <col min="8706" max="8707" width="9.140625" style="266"/>
    <col min="8708" max="8708" width="7.7109375" style="266" bestFit="1" customWidth="1"/>
    <col min="8709" max="8709" width="13.140625" style="266" customWidth="1"/>
    <col min="8710" max="8960" width="9.140625" style="266"/>
    <col min="8961" max="8961" width="41.28515625" style="266" bestFit="1" customWidth="1"/>
    <col min="8962" max="8963" width="9.140625" style="266"/>
    <col min="8964" max="8964" width="7.7109375" style="266" bestFit="1" customWidth="1"/>
    <col min="8965" max="8965" width="13.140625" style="266" customWidth="1"/>
    <col min="8966" max="9216" width="9.140625" style="266"/>
    <col min="9217" max="9217" width="41.28515625" style="266" bestFit="1" customWidth="1"/>
    <col min="9218" max="9219" width="9.140625" style="266"/>
    <col min="9220" max="9220" width="7.7109375" style="266" bestFit="1" customWidth="1"/>
    <col min="9221" max="9221" width="13.140625" style="266" customWidth="1"/>
    <col min="9222" max="9472" width="9.140625" style="266"/>
    <col min="9473" max="9473" width="41.28515625" style="266" bestFit="1" customWidth="1"/>
    <col min="9474" max="9475" width="9.140625" style="266"/>
    <col min="9476" max="9476" width="7.7109375" style="266" bestFit="1" customWidth="1"/>
    <col min="9477" max="9477" width="13.140625" style="266" customWidth="1"/>
    <col min="9478" max="9728" width="9.140625" style="266"/>
    <col min="9729" max="9729" width="41.28515625" style="266" bestFit="1" customWidth="1"/>
    <col min="9730" max="9731" width="9.140625" style="266"/>
    <col min="9732" max="9732" width="7.7109375" style="266" bestFit="1" customWidth="1"/>
    <col min="9733" max="9733" width="13.140625" style="266" customWidth="1"/>
    <col min="9734" max="9984" width="9.140625" style="266"/>
    <col min="9985" max="9985" width="41.28515625" style="266" bestFit="1" customWidth="1"/>
    <col min="9986" max="9987" width="9.140625" style="266"/>
    <col min="9988" max="9988" width="7.7109375" style="266" bestFit="1" customWidth="1"/>
    <col min="9989" max="9989" width="13.140625" style="266" customWidth="1"/>
    <col min="9990" max="10240" width="9.140625" style="266"/>
    <col min="10241" max="10241" width="41.28515625" style="266" bestFit="1" customWidth="1"/>
    <col min="10242" max="10243" width="9.140625" style="266"/>
    <col min="10244" max="10244" width="7.7109375" style="266" bestFit="1" customWidth="1"/>
    <col min="10245" max="10245" width="13.140625" style="266" customWidth="1"/>
    <col min="10246" max="10496" width="9.140625" style="266"/>
    <col min="10497" max="10497" width="41.28515625" style="266" bestFit="1" customWidth="1"/>
    <col min="10498" max="10499" width="9.140625" style="266"/>
    <col min="10500" max="10500" width="7.7109375" style="266" bestFit="1" customWidth="1"/>
    <col min="10501" max="10501" width="13.140625" style="266" customWidth="1"/>
    <col min="10502" max="10752" width="9.140625" style="266"/>
    <col min="10753" max="10753" width="41.28515625" style="266" bestFit="1" customWidth="1"/>
    <col min="10754" max="10755" width="9.140625" style="266"/>
    <col min="10756" max="10756" width="7.7109375" style="266" bestFit="1" customWidth="1"/>
    <col min="10757" max="10757" width="13.140625" style="266" customWidth="1"/>
    <col min="10758" max="11008" width="9.140625" style="266"/>
    <col min="11009" max="11009" width="41.28515625" style="266" bestFit="1" customWidth="1"/>
    <col min="11010" max="11011" width="9.140625" style="266"/>
    <col min="11012" max="11012" width="7.7109375" style="266" bestFit="1" customWidth="1"/>
    <col min="11013" max="11013" width="13.140625" style="266" customWidth="1"/>
    <col min="11014" max="11264" width="9.140625" style="266"/>
    <col min="11265" max="11265" width="41.28515625" style="266" bestFit="1" customWidth="1"/>
    <col min="11266" max="11267" width="9.140625" style="266"/>
    <col min="11268" max="11268" width="7.7109375" style="266" bestFit="1" customWidth="1"/>
    <col min="11269" max="11269" width="13.140625" style="266" customWidth="1"/>
    <col min="11270" max="11520" width="9.140625" style="266"/>
    <col min="11521" max="11521" width="41.28515625" style="266" bestFit="1" customWidth="1"/>
    <col min="11522" max="11523" width="9.140625" style="266"/>
    <col min="11524" max="11524" width="7.7109375" style="266" bestFit="1" customWidth="1"/>
    <col min="11525" max="11525" width="13.140625" style="266" customWidth="1"/>
    <col min="11526" max="11776" width="9.140625" style="266"/>
    <col min="11777" max="11777" width="41.28515625" style="266" bestFit="1" customWidth="1"/>
    <col min="11778" max="11779" width="9.140625" style="266"/>
    <col min="11780" max="11780" width="7.7109375" style="266" bestFit="1" customWidth="1"/>
    <col min="11781" max="11781" width="13.140625" style="266" customWidth="1"/>
    <col min="11782" max="12032" width="9.140625" style="266"/>
    <col min="12033" max="12033" width="41.28515625" style="266" bestFit="1" customWidth="1"/>
    <col min="12034" max="12035" width="9.140625" style="266"/>
    <col min="12036" max="12036" width="7.7109375" style="266" bestFit="1" customWidth="1"/>
    <col min="12037" max="12037" width="13.140625" style="266" customWidth="1"/>
    <col min="12038" max="12288" width="9.140625" style="266"/>
    <col min="12289" max="12289" width="41.28515625" style="266" bestFit="1" customWidth="1"/>
    <col min="12290" max="12291" width="9.140625" style="266"/>
    <col min="12292" max="12292" width="7.7109375" style="266" bestFit="1" customWidth="1"/>
    <col min="12293" max="12293" width="13.140625" style="266" customWidth="1"/>
    <col min="12294" max="12544" width="9.140625" style="266"/>
    <col min="12545" max="12545" width="41.28515625" style="266" bestFit="1" customWidth="1"/>
    <col min="12546" max="12547" width="9.140625" style="266"/>
    <col min="12548" max="12548" width="7.7109375" style="266" bestFit="1" customWidth="1"/>
    <col min="12549" max="12549" width="13.140625" style="266" customWidth="1"/>
    <col min="12550" max="12800" width="9.140625" style="266"/>
    <col min="12801" max="12801" width="41.28515625" style="266" bestFit="1" customWidth="1"/>
    <col min="12802" max="12803" width="9.140625" style="266"/>
    <col min="12804" max="12804" width="7.7109375" style="266" bestFit="1" customWidth="1"/>
    <col min="12805" max="12805" width="13.140625" style="266" customWidth="1"/>
    <col min="12806" max="13056" width="9.140625" style="266"/>
    <col min="13057" max="13057" width="41.28515625" style="266" bestFit="1" customWidth="1"/>
    <col min="13058" max="13059" width="9.140625" style="266"/>
    <col min="13060" max="13060" width="7.7109375" style="266" bestFit="1" customWidth="1"/>
    <col min="13061" max="13061" width="13.140625" style="266" customWidth="1"/>
    <col min="13062" max="13312" width="9.140625" style="266"/>
    <col min="13313" max="13313" width="41.28515625" style="266" bestFit="1" customWidth="1"/>
    <col min="13314" max="13315" width="9.140625" style="266"/>
    <col min="13316" max="13316" width="7.7109375" style="266" bestFit="1" customWidth="1"/>
    <col min="13317" max="13317" width="13.140625" style="266" customWidth="1"/>
    <col min="13318" max="13568" width="9.140625" style="266"/>
    <col min="13569" max="13569" width="41.28515625" style="266" bestFit="1" customWidth="1"/>
    <col min="13570" max="13571" width="9.140625" style="266"/>
    <col min="13572" max="13572" width="7.7109375" style="266" bestFit="1" customWidth="1"/>
    <col min="13573" max="13573" width="13.140625" style="266" customWidth="1"/>
    <col min="13574" max="13824" width="9.140625" style="266"/>
    <col min="13825" max="13825" width="41.28515625" style="266" bestFit="1" customWidth="1"/>
    <col min="13826" max="13827" width="9.140625" style="266"/>
    <col min="13828" max="13828" width="7.7109375" style="266" bestFit="1" customWidth="1"/>
    <col min="13829" max="13829" width="13.140625" style="266" customWidth="1"/>
    <col min="13830" max="14080" width="9.140625" style="266"/>
    <col min="14081" max="14081" width="41.28515625" style="266" bestFit="1" customWidth="1"/>
    <col min="14082" max="14083" width="9.140625" style="266"/>
    <col min="14084" max="14084" width="7.7109375" style="266" bestFit="1" customWidth="1"/>
    <col min="14085" max="14085" width="13.140625" style="266" customWidth="1"/>
    <col min="14086" max="14336" width="9.140625" style="266"/>
    <col min="14337" max="14337" width="41.28515625" style="266" bestFit="1" customWidth="1"/>
    <col min="14338" max="14339" width="9.140625" style="266"/>
    <col min="14340" max="14340" width="7.7109375" style="266" bestFit="1" customWidth="1"/>
    <col min="14341" max="14341" width="13.140625" style="266" customWidth="1"/>
    <col min="14342" max="14592" width="9.140625" style="266"/>
    <col min="14593" max="14593" width="41.28515625" style="266" bestFit="1" customWidth="1"/>
    <col min="14594" max="14595" width="9.140625" style="266"/>
    <col min="14596" max="14596" width="7.7109375" style="266" bestFit="1" customWidth="1"/>
    <col min="14597" max="14597" width="13.140625" style="266" customWidth="1"/>
    <col min="14598" max="14848" width="9.140625" style="266"/>
    <col min="14849" max="14849" width="41.28515625" style="266" bestFit="1" customWidth="1"/>
    <col min="14850" max="14851" width="9.140625" style="266"/>
    <col min="14852" max="14852" width="7.7109375" style="266" bestFit="1" customWidth="1"/>
    <col min="14853" max="14853" width="13.140625" style="266" customWidth="1"/>
    <col min="14854" max="15104" width="9.140625" style="266"/>
    <col min="15105" max="15105" width="41.28515625" style="266" bestFit="1" customWidth="1"/>
    <col min="15106" max="15107" width="9.140625" style="266"/>
    <col min="15108" max="15108" width="7.7109375" style="266" bestFit="1" customWidth="1"/>
    <col min="15109" max="15109" width="13.140625" style="266" customWidth="1"/>
    <col min="15110" max="15360" width="9.140625" style="266"/>
    <col min="15361" max="15361" width="41.28515625" style="266" bestFit="1" customWidth="1"/>
    <col min="15362" max="15363" width="9.140625" style="266"/>
    <col min="15364" max="15364" width="7.7109375" style="266" bestFit="1" customWidth="1"/>
    <col min="15365" max="15365" width="13.140625" style="266" customWidth="1"/>
    <col min="15366" max="15616" width="9.140625" style="266"/>
    <col min="15617" max="15617" width="41.28515625" style="266" bestFit="1" customWidth="1"/>
    <col min="15618" max="15619" width="9.140625" style="266"/>
    <col min="15620" max="15620" width="7.7109375" style="266" bestFit="1" customWidth="1"/>
    <col min="15621" max="15621" width="13.140625" style="266" customWidth="1"/>
    <col min="15622" max="15872" width="9.140625" style="266"/>
    <col min="15873" max="15873" width="41.28515625" style="266" bestFit="1" customWidth="1"/>
    <col min="15874" max="15875" width="9.140625" style="266"/>
    <col min="15876" max="15876" width="7.7109375" style="266" bestFit="1" customWidth="1"/>
    <col min="15877" max="15877" width="13.140625" style="266" customWidth="1"/>
    <col min="15878" max="16128" width="9.140625" style="266"/>
    <col min="16129" max="16129" width="41.28515625" style="266" bestFit="1" customWidth="1"/>
    <col min="16130" max="16131" width="9.140625" style="266"/>
    <col min="16132" max="16132" width="7.7109375" style="266" bestFit="1" customWidth="1"/>
    <col min="16133" max="16133" width="13.140625" style="266" customWidth="1"/>
    <col min="16134" max="16384" width="9.140625" style="266"/>
  </cols>
  <sheetData>
    <row r="1" spans="1:16" s="258" customFormat="1" ht="32.25">
      <c r="A1" s="261" t="str">
        <f>Index!A1</f>
        <v>Alibaba IPO</v>
      </c>
      <c r="B1" s="257"/>
      <c r="C1" s="257"/>
      <c r="D1" s="257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  <c r="P1" s="257"/>
    </row>
    <row r="2" spans="1:16" s="258" customFormat="1" ht="23.25">
      <c r="A2" s="260" t="s">
        <v>85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</row>
    <row r="3" spans="1:16" ht="20.25">
      <c r="A3" s="1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ht="18" customHeight="1">
      <c r="A4" s="1"/>
      <c r="B4" s="403"/>
      <c r="C4" s="422" t="s">
        <v>101</v>
      </c>
      <c r="D4" s="422"/>
      <c r="E4" s="422"/>
      <c r="F4" s="422"/>
      <c r="G4" s="422"/>
      <c r="H4" s="422" t="s">
        <v>102</v>
      </c>
      <c r="I4" s="422"/>
      <c r="J4" s="422"/>
      <c r="K4" s="422"/>
      <c r="L4" s="422"/>
      <c r="M4" s="422"/>
      <c r="N4" s="422"/>
      <c r="O4" s="422"/>
      <c r="P4" s="3"/>
    </row>
    <row r="5" spans="1:16" s="273" customFormat="1" ht="15.75" thickBot="1">
      <c r="A5" s="12"/>
      <c r="B5" s="165" t="s">
        <v>217</v>
      </c>
      <c r="C5" s="11">
        <f>BS!C4</f>
        <v>40268</v>
      </c>
      <c r="D5" s="11">
        <f>BS!D4</f>
        <v>40633</v>
      </c>
      <c r="E5" s="11">
        <f>BS!E4</f>
        <v>40999</v>
      </c>
      <c r="F5" s="11">
        <f>BS!F4</f>
        <v>41364</v>
      </c>
      <c r="G5" s="11">
        <f>BS!G4</f>
        <v>41729</v>
      </c>
      <c r="H5" s="11">
        <f>BS!H4</f>
        <v>42094</v>
      </c>
      <c r="I5" s="11">
        <f>BS!I4</f>
        <v>42460</v>
      </c>
      <c r="J5" s="11">
        <f>BS!J4</f>
        <v>42825</v>
      </c>
      <c r="K5" s="11">
        <f>BS!K4</f>
        <v>43190</v>
      </c>
      <c r="L5" s="11">
        <f>BS!L4</f>
        <v>43555</v>
      </c>
      <c r="M5" s="11">
        <f>BS!M4</f>
        <v>43921</v>
      </c>
      <c r="N5" s="11">
        <f>BS!N4</f>
        <v>44286</v>
      </c>
      <c r="O5" s="11">
        <f>BS!O4</f>
        <v>44651</v>
      </c>
      <c r="P5" s="12"/>
    </row>
    <row r="6" spans="1:16" ht="15">
      <c r="A6" s="3"/>
      <c r="B6" s="3" t="s">
        <v>86</v>
      </c>
      <c r="C6" s="141"/>
      <c r="D6" s="142"/>
      <c r="E6" s="142"/>
      <c r="F6" s="142"/>
      <c r="G6" s="142"/>
      <c r="H6" s="143">
        <f ca="1">CF!H49</f>
        <v>26056.081134049149</v>
      </c>
      <c r="I6" s="143">
        <f ca="1">CF!I49</f>
        <v>34736.760596141547</v>
      </c>
      <c r="J6" s="143">
        <f ca="1">CF!J49</f>
        <v>46194.705573463682</v>
      </c>
      <c r="K6" s="143">
        <f ca="1">CF!K49</f>
        <v>60635.700349437095</v>
      </c>
      <c r="L6" s="143">
        <f ca="1">CF!L49</f>
        <v>76867.77697602936</v>
      </c>
      <c r="M6" s="143">
        <f ca="1">CF!M49</f>
        <v>86525.695597074635</v>
      </c>
      <c r="N6" s="143">
        <f ca="1">CF!N49</f>
        <v>95904.413296404338</v>
      </c>
      <c r="O6" s="143">
        <f ca="1">CF!O49</f>
        <v>101563.45526969849</v>
      </c>
      <c r="P6" s="3"/>
    </row>
    <row r="7" spans="1:16">
      <c r="A7" s="3"/>
      <c r="B7" s="3" t="s">
        <v>87</v>
      </c>
      <c r="C7" s="56"/>
      <c r="D7" s="144"/>
      <c r="E7" s="144"/>
      <c r="F7" s="144"/>
      <c r="G7" s="144"/>
      <c r="H7" s="145"/>
      <c r="I7" s="145"/>
      <c r="J7" s="145"/>
      <c r="K7" s="145"/>
      <c r="L7" s="145"/>
      <c r="M7" s="145"/>
      <c r="N7" s="145"/>
      <c r="O7" s="145"/>
      <c r="P7" s="3"/>
    </row>
    <row r="8" spans="1:16">
      <c r="A8" s="3"/>
      <c r="B8" s="146" t="s">
        <v>88</v>
      </c>
      <c r="C8" s="57"/>
      <c r="D8" s="147"/>
      <c r="E8" s="147"/>
      <c r="F8" s="147"/>
      <c r="G8" s="147"/>
      <c r="H8" s="106">
        <f>BS!G8</f>
        <v>48550</v>
      </c>
      <c r="I8" s="106">
        <f ca="1">BS!H8</f>
        <v>64630.081134049149</v>
      </c>
      <c r="J8" s="106">
        <f ca="1">BS!I8</f>
        <v>89336.841730190703</v>
      </c>
      <c r="K8" s="106">
        <f ca="1">BS!J8</f>
        <v>131731.54730365437</v>
      </c>
      <c r="L8" s="106">
        <f ca="1">BS!K8</f>
        <v>191888.24765309147</v>
      </c>
      <c r="M8" s="106">
        <f ca="1">BS!L8</f>
        <v>268277.02462912083</v>
      </c>
      <c r="N8" s="106">
        <f ca="1">BS!M8</f>
        <v>354323.72022619547</v>
      </c>
      <c r="O8" s="106">
        <f ca="1">BS!N8</f>
        <v>449749.13352259982</v>
      </c>
      <c r="P8" s="3"/>
    </row>
    <row r="9" spans="1:16">
      <c r="A9" s="3"/>
      <c r="B9" s="146" t="s">
        <v>89</v>
      </c>
      <c r="C9" s="57"/>
      <c r="D9" s="148"/>
      <c r="E9" s="148"/>
      <c r="F9" s="148"/>
      <c r="G9" s="148"/>
      <c r="H9" s="149">
        <v>-10000</v>
      </c>
      <c r="I9" s="149">
        <v>-10000</v>
      </c>
      <c r="J9" s="149">
        <v>-10000</v>
      </c>
      <c r="K9" s="149">
        <v>-10000</v>
      </c>
      <c r="L9" s="149">
        <v>-10000</v>
      </c>
      <c r="M9" s="149">
        <v>-10000</v>
      </c>
      <c r="N9" s="149">
        <v>-10000</v>
      </c>
      <c r="O9" s="149">
        <v>-10000</v>
      </c>
      <c r="P9" s="3"/>
    </row>
    <row r="10" spans="1:16" ht="15">
      <c r="A10" s="3"/>
      <c r="B10" s="3" t="s">
        <v>90</v>
      </c>
      <c r="C10" s="57"/>
      <c r="D10" s="150"/>
      <c r="E10" s="150"/>
      <c r="F10" s="150"/>
      <c r="G10" s="150"/>
      <c r="H10" s="151">
        <f t="shared" ref="H10:O10" si="0">SUM(H8:H9)</f>
        <v>38550</v>
      </c>
      <c r="I10" s="151">
        <f t="shared" ca="1" si="0"/>
        <v>54630.081134049149</v>
      </c>
      <c r="J10" s="151">
        <f t="shared" ca="1" si="0"/>
        <v>79336.841730190703</v>
      </c>
      <c r="K10" s="151">
        <f t="shared" ca="1" si="0"/>
        <v>121731.54730365437</v>
      </c>
      <c r="L10" s="151">
        <f t="shared" ca="1" si="0"/>
        <v>181888.24765309147</v>
      </c>
      <c r="M10" s="151">
        <f t="shared" ca="1" si="0"/>
        <v>258277.02462912083</v>
      </c>
      <c r="N10" s="151">
        <f t="shared" ca="1" si="0"/>
        <v>344323.72022619547</v>
      </c>
      <c r="O10" s="151">
        <f t="shared" ca="1" si="0"/>
        <v>439749.13352259982</v>
      </c>
      <c r="P10" s="3"/>
    </row>
    <row r="11" spans="1:16">
      <c r="A11" s="3"/>
      <c r="B11" s="3" t="s">
        <v>91</v>
      </c>
      <c r="C11" s="57"/>
      <c r="D11" s="136"/>
      <c r="E11" s="136"/>
      <c r="F11" s="136"/>
      <c r="G11" s="136"/>
      <c r="H11" s="55">
        <v>0</v>
      </c>
      <c r="I11" s="55">
        <v>0</v>
      </c>
      <c r="J11" s="55">
        <v>0</v>
      </c>
      <c r="K11" s="55">
        <v>0</v>
      </c>
      <c r="L11" s="55">
        <v>0</v>
      </c>
      <c r="M11" s="55">
        <v>0</v>
      </c>
      <c r="N11" s="55">
        <v>0</v>
      </c>
      <c r="O11" s="55">
        <v>0</v>
      </c>
      <c r="P11" s="3"/>
    </row>
    <row r="12" spans="1:16">
      <c r="A12" s="3"/>
      <c r="B12" s="3" t="s">
        <v>92</v>
      </c>
      <c r="C12" s="57"/>
      <c r="D12" s="136"/>
      <c r="E12" s="136"/>
      <c r="F12" s="136"/>
      <c r="G12" s="136"/>
      <c r="H12" s="55">
        <f t="shared" ref="H12:O12" si="1">H23</f>
        <v>-8776</v>
      </c>
      <c r="I12" s="55">
        <f t="shared" si="1"/>
        <v>-10030</v>
      </c>
      <c r="J12" s="55">
        <f t="shared" si="1"/>
        <v>-3800</v>
      </c>
      <c r="K12" s="55">
        <f t="shared" si="1"/>
        <v>-479</v>
      </c>
      <c r="L12" s="55">
        <f t="shared" si="1"/>
        <v>-479</v>
      </c>
      <c r="M12" s="55">
        <f t="shared" si="1"/>
        <v>-479</v>
      </c>
      <c r="N12" s="55">
        <f t="shared" si="1"/>
        <v>-479</v>
      </c>
      <c r="O12" s="55">
        <f t="shared" si="1"/>
        <v>-479</v>
      </c>
      <c r="P12" s="3"/>
    </row>
    <row r="13" spans="1:16" ht="15">
      <c r="A13" s="3"/>
      <c r="B13" s="232" t="s">
        <v>93</v>
      </c>
      <c r="C13" s="233"/>
      <c r="D13" s="234"/>
      <c r="E13" s="234"/>
      <c r="F13" s="234"/>
      <c r="G13" s="234"/>
      <c r="H13" s="234">
        <f t="shared" ref="H13:O13" si="2">SUM(H10:H12)</f>
        <v>29774</v>
      </c>
      <c r="I13" s="234">
        <f t="shared" ca="1" si="2"/>
        <v>44600.081134049149</v>
      </c>
      <c r="J13" s="234">
        <f t="shared" ca="1" si="2"/>
        <v>75536.841730190703</v>
      </c>
      <c r="K13" s="234">
        <f t="shared" ca="1" si="2"/>
        <v>121252.54730365437</v>
      </c>
      <c r="L13" s="234">
        <f t="shared" ca="1" si="2"/>
        <v>181409.24765309147</v>
      </c>
      <c r="M13" s="234">
        <f t="shared" ca="1" si="2"/>
        <v>257798.02462912083</v>
      </c>
      <c r="N13" s="234">
        <f t="shared" ca="1" si="2"/>
        <v>343844.72022619547</v>
      </c>
      <c r="O13" s="234">
        <f t="shared" ca="1" si="2"/>
        <v>439270.13352259982</v>
      </c>
      <c r="P13" s="3"/>
    </row>
    <row r="14" spans="1:16">
      <c r="A14" s="3"/>
      <c r="B14" s="3"/>
      <c r="C14" s="29"/>
      <c r="D14" s="55"/>
      <c r="E14" s="55"/>
      <c r="F14" s="55"/>
      <c r="G14" s="55"/>
      <c r="H14" s="55"/>
      <c r="I14" s="55"/>
      <c r="J14" s="55"/>
      <c r="K14" s="99"/>
      <c r="L14" s="99"/>
      <c r="M14" s="99"/>
      <c r="N14" s="99"/>
      <c r="O14" s="99"/>
      <c r="P14" s="3"/>
    </row>
    <row r="15" spans="1:16" ht="15">
      <c r="A15" s="3"/>
      <c r="B15" s="241" t="s">
        <v>171</v>
      </c>
      <c r="C15" s="235"/>
      <c r="D15" s="235"/>
      <c r="E15" s="235"/>
      <c r="F15" s="235"/>
      <c r="G15" s="235"/>
      <c r="H15" s="235"/>
      <c r="I15" s="235"/>
      <c r="J15" s="235"/>
      <c r="K15" s="242"/>
      <c r="L15" s="242"/>
      <c r="M15" s="242"/>
      <c r="N15" s="242"/>
      <c r="O15" s="242"/>
      <c r="P15" s="3"/>
    </row>
    <row r="16" spans="1:16">
      <c r="A16" s="3"/>
      <c r="B16" s="3" t="s">
        <v>94</v>
      </c>
      <c r="C16" s="29"/>
      <c r="D16" s="55"/>
      <c r="E16" s="55"/>
      <c r="F16" s="55"/>
      <c r="G16" s="55"/>
      <c r="H16" s="55">
        <f t="shared" ref="H16:O16" si="3">G18</f>
        <v>1200</v>
      </c>
      <c r="I16" s="55">
        <f t="shared" si="3"/>
        <v>0</v>
      </c>
      <c r="J16" s="55">
        <f t="shared" ca="1" si="3"/>
        <v>0</v>
      </c>
      <c r="K16" s="55">
        <f t="shared" ca="1" si="3"/>
        <v>0</v>
      </c>
      <c r="L16" s="55">
        <f t="shared" ca="1" si="3"/>
        <v>0</v>
      </c>
      <c r="M16" s="55">
        <f t="shared" ca="1" si="3"/>
        <v>0</v>
      </c>
      <c r="N16" s="55">
        <f t="shared" ca="1" si="3"/>
        <v>0</v>
      </c>
      <c r="O16" s="55">
        <f t="shared" ca="1" si="3"/>
        <v>0</v>
      </c>
      <c r="P16" s="3"/>
    </row>
    <row r="17" spans="1:16">
      <c r="A17" s="3"/>
      <c r="B17" s="3" t="s">
        <v>95</v>
      </c>
      <c r="C17" s="29"/>
      <c r="D17" s="55"/>
      <c r="E17" s="55"/>
      <c r="F17" s="55"/>
      <c r="G17" s="55"/>
      <c r="H17" s="55">
        <f t="shared" ref="H17:O17" si="4">IF(H13&lt;0,-H13,-MIN(H16,H13))</f>
        <v>-1200</v>
      </c>
      <c r="I17" s="55">
        <f t="shared" ca="1" si="4"/>
        <v>0</v>
      </c>
      <c r="J17" s="55">
        <f t="shared" ca="1" si="4"/>
        <v>0</v>
      </c>
      <c r="K17" s="55">
        <f t="shared" ca="1" si="4"/>
        <v>0</v>
      </c>
      <c r="L17" s="55">
        <f t="shared" ca="1" si="4"/>
        <v>0</v>
      </c>
      <c r="M17" s="55">
        <f t="shared" ca="1" si="4"/>
        <v>0</v>
      </c>
      <c r="N17" s="55">
        <f t="shared" ca="1" si="4"/>
        <v>0</v>
      </c>
      <c r="O17" s="55">
        <f t="shared" ca="1" si="4"/>
        <v>0</v>
      </c>
      <c r="P17" s="3"/>
    </row>
    <row r="18" spans="1:16" ht="15" thickBot="1">
      <c r="A18" s="3"/>
      <c r="B18" s="37" t="s">
        <v>96</v>
      </c>
      <c r="C18" s="239"/>
      <c r="D18" s="240"/>
      <c r="E18" s="240"/>
      <c r="F18" s="240"/>
      <c r="G18" s="240">
        <f>BS!G27</f>
        <v>1200</v>
      </c>
      <c r="H18" s="240">
        <f t="shared" ref="H18:O18" si="5">SUM(H16:H17)</f>
        <v>0</v>
      </c>
      <c r="I18" s="240">
        <f t="shared" ca="1" si="5"/>
        <v>0</v>
      </c>
      <c r="J18" s="240">
        <f t="shared" ca="1" si="5"/>
        <v>0</v>
      </c>
      <c r="K18" s="240">
        <f t="shared" ca="1" si="5"/>
        <v>0</v>
      </c>
      <c r="L18" s="240">
        <f t="shared" ca="1" si="5"/>
        <v>0</v>
      </c>
      <c r="M18" s="240">
        <f t="shared" ca="1" si="5"/>
        <v>0</v>
      </c>
      <c r="N18" s="240">
        <f t="shared" ca="1" si="5"/>
        <v>0</v>
      </c>
      <c r="O18" s="240">
        <f t="shared" ca="1" si="5"/>
        <v>0</v>
      </c>
      <c r="P18" s="3"/>
    </row>
    <row r="19" spans="1:16" ht="15" thickTop="1">
      <c r="A19" s="3"/>
      <c r="B19" s="3"/>
      <c r="C19" s="29"/>
      <c r="D19" s="55"/>
      <c r="E19" s="55"/>
      <c r="F19" s="55"/>
      <c r="G19" s="55"/>
      <c r="H19" s="55"/>
      <c r="I19" s="55"/>
      <c r="J19" s="55"/>
      <c r="K19" s="99"/>
      <c r="L19" s="99"/>
      <c r="M19" s="99"/>
      <c r="N19" s="99"/>
      <c r="O19" s="99"/>
      <c r="P19" s="3"/>
    </row>
    <row r="20" spans="1:16" ht="15">
      <c r="A20" s="3"/>
      <c r="B20" s="241" t="s">
        <v>314</v>
      </c>
      <c r="C20" s="235"/>
      <c r="D20" s="235"/>
      <c r="E20" s="235"/>
      <c r="F20" s="235"/>
      <c r="G20" s="235"/>
      <c r="H20" s="235"/>
      <c r="I20" s="235"/>
      <c r="J20" s="235"/>
      <c r="K20" s="242"/>
      <c r="L20" s="242"/>
      <c r="M20" s="242"/>
      <c r="N20" s="242"/>
      <c r="O20" s="242"/>
      <c r="P20" s="3"/>
    </row>
    <row r="21" spans="1:16">
      <c r="A21" s="3"/>
      <c r="B21" s="3" t="s">
        <v>94</v>
      </c>
      <c r="C21" s="29"/>
      <c r="D21" s="55"/>
      <c r="E21" s="55"/>
      <c r="F21" s="55"/>
      <c r="G21" s="55"/>
      <c r="H21" s="55">
        <f t="shared" ref="H21:O21" si="6">G24</f>
        <v>30226</v>
      </c>
      <c r="I21" s="55">
        <f t="shared" si="6"/>
        <v>21450</v>
      </c>
      <c r="J21" s="55">
        <f t="shared" si="6"/>
        <v>11420</v>
      </c>
      <c r="K21" s="55">
        <f t="shared" si="6"/>
        <v>7620</v>
      </c>
      <c r="L21" s="55">
        <f t="shared" si="6"/>
        <v>7141</v>
      </c>
      <c r="M21" s="55">
        <f t="shared" si="6"/>
        <v>6662</v>
      </c>
      <c r="N21" s="55">
        <f t="shared" si="6"/>
        <v>6183</v>
      </c>
      <c r="O21" s="55">
        <f t="shared" si="6"/>
        <v>5704</v>
      </c>
      <c r="P21" s="3"/>
    </row>
    <row r="22" spans="1:16">
      <c r="A22" s="3"/>
      <c r="B22" s="3" t="s">
        <v>97</v>
      </c>
      <c r="C22" s="153"/>
      <c r="D22" s="154"/>
      <c r="E22" s="154"/>
      <c r="F22" s="154"/>
      <c r="G22" s="154"/>
      <c r="H22" s="154"/>
      <c r="I22" s="99"/>
      <c r="J22" s="99"/>
      <c r="K22" s="99"/>
      <c r="L22" s="99"/>
      <c r="M22" s="99"/>
      <c r="N22" s="99"/>
      <c r="O22" s="99"/>
      <c r="P22" s="3"/>
    </row>
    <row r="23" spans="1:16">
      <c r="A23" s="3"/>
      <c r="B23" s="3" t="s">
        <v>98</v>
      </c>
      <c r="C23" s="153"/>
      <c r="D23" s="154"/>
      <c r="E23" s="154"/>
      <c r="F23" s="154"/>
      <c r="G23" s="154"/>
      <c r="H23" s="154">
        <v>-8776</v>
      </c>
      <c r="I23" s="154">
        <v>-10030</v>
      </c>
      <c r="J23" s="154">
        <v>-3800</v>
      </c>
      <c r="K23" s="154">
        <v>-479</v>
      </c>
      <c r="L23" s="154">
        <v>-479</v>
      </c>
      <c r="M23" s="154">
        <v>-479</v>
      </c>
      <c r="N23" s="154">
        <v>-479</v>
      </c>
      <c r="O23" s="154">
        <v>-479</v>
      </c>
      <c r="P23" s="3"/>
    </row>
    <row r="24" spans="1:16" ht="15.75" thickBot="1">
      <c r="A24" s="3"/>
      <c r="B24" s="236" t="s">
        <v>96</v>
      </c>
      <c r="C24" s="237"/>
      <c r="D24" s="238"/>
      <c r="E24" s="238"/>
      <c r="F24" s="238"/>
      <c r="G24" s="238">
        <f>BS!G39</f>
        <v>30226</v>
      </c>
      <c r="H24" s="238">
        <f t="shared" ref="H24:O24" si="7">SUM(H21:H23)</f>
        <v>21450</v>
      </c>
      <c r="I24" s="238">
        <f t="shared" si="7"/>
        <v>11420</v>
      </c>
      <c r="J24" s="238">
        <f t="shared" si="7"/>
        <v>7620</v>
      </c>
      <c r="K24" s="238">
        <f t="shared" si="7"/>
        <v>7141</v>
      </c>
      <c r="L24" s="238">
        <f t="shared" si="7"/>
        <v>6662</v>
      </c>
      <c r="M24" s="238">
        <f t="shared" si="7"/>
        <v>6183</v>
      </c>
      <c r="N24" s="238">
        <f t="shared" si="7"/>
        <v>5704</v>
      </c>
      <c r="O24" s="238">
        <f t="shared" si="7"/>
        <v>5225</v>
      </c>
      <c r="P24" s="3"/>
    </row>
    <row r="25" spans="1:16" ht="15" thickTop="1">
      <c r="A25" s="3"/>
      <c r="B25" s="3"/>
      <c r="C25" s="3"/>
      <c r="D25" s="99"/>
      <c r="E25" s="99"/>
      <c r="F25" s="99"/>
      <c r="G25" s="99"/>
      <c r="H25" s="99"/>
      <c r="I25" s="99"/>
      <c r="J25" s="99"/>
      <c r="K25" s="99"/>
      <c r="L25" s="99"/>
      <c r="M25" s="99"/>
      <c r="N25" s="99"/>
      <c r="O25" s="99"/>
      <c r="P25" s="3"/>
    </row>
    <row r="26" spans="1:16" ht="15">
      <c r="A26" s="3"/>
      <c r="B26" s="241" t="s">
        <v>164</v>
      </c>
      <c r="C26" s="242"/>
      <c r="D26" s="242"/>
      <c r="E26" s="242"/>
      <c r="F26" s="242"/>
      <c r="G26" s="242"/>
      <c r="H26" s="242"/>
      <c r="I26" s="242"/>
      <c r="J26" s="242"/>
      <c r="K26" s="242"/>
      <c r="L26" s="242"/>
      <c r="M26" s="242"/>
      <c r="N26" s="242"/>
      <c r="O26" s="242"/>
      <c r="P26" s="3"/>
    </row>
    <row r="27" spans="1:16">
      <c r="A27" s="3"/>
      <c r="B27" s="3"/>
      <c r="C27" s="3"/>
      <c r="D27" s="99"/>
      <c r="E27" s="99"/>
      <c r="F27" s="99"/>
      <c r="G27" s="99"/>
      <c r="H27" s="99"/>
      <c r="I27" s="99"/>
      <c r="J27" s="99"/>
      <c r="K27" s="99"/>
      <c r="L27" s="99"/>
      <c r="M27" s="99"/>
      <c r="N27" s="99"/>
      <c r="O27" s="99"/>
      <c r="P27" s="3"/>
    </row>
    <row r="28" spans="1:16">
      <c r="A28" s="3"/>
      <c r="B28" s="152" t="s">
        <v>166</v>
      </c>
      <c r="C28" s="60"/>
      <c r="D28" s="155"/>
      <c r="E28" s="155"/>
      <c r="F28" s="155"/>
      <c r="G28" s="155"/>
      <c r="H28" s="249">
        <f>AVERAGE(F18:H18)</f>
        <v>600</v>
      </c>
      <c r="I28" s="249">
        <f t="shared" ref="I28:O28" ca="1" si="8">AVERAGE(H18:I18)</f>
        <v>0</v>
      </c>
      <c r="J28" s="249">
        <f t="shared" ca="1" si="8"/>
        <v>0</v>
      </c>
      <c r="K28" s="249">
        <f t="shared" ca="1" si="8"/>
        <v>0</v>
      </c>
      <c r="L28" s="249">
        <f t="shared" ca="1" si="8"/>
        <v>0</v>
      </c>
      <c r="M28" s="249">
        <f t="shared" ca="1" si="8"/>
        <v>0</v>
      </c>
      <c r="N28" s="249">
        <f t="shared" ca="1" si="8"/>
        <v>0</v>
      </c>
      <c r="O28" s="249">
        <f t="shared" ca="1" si="8"/>
        <v>0</v>
      </c>
      <c r="P28" s="3"/>
    </row>
    <row r="29" spans="1:16">
      <c r="A29" s="3"/>
      <c r="B29" s="3"/>
      <c r="C29" s="156"/>
      <c r="D29" s="157"/>
      <c r="E29" s="157"/>
      <c r="F29" s="157"/>
      <c r="G29" s="157"/>
      <c r="H29" s="157">
        <v>0.06</v>
      </c>
      <c r="I29" s="157">
        <v>0.06</v>
      </c>
      <c r="J29" s="157">
        <v>0.06</v>
      </c>
      <c r="K29" s="157">
        <v>0.06</v>
      </c>
      <c r="L29" s="157">
        <v>0.06</v>
      </c>
      <c r="M29" s="157">
        <v>0.06</v>
      </c>
      <c r="N29" s="157">
        <v>0.06</v>
      </c>
      <c r="O29" s="157">
        <v>0.06</v>
      </c>
      <c r="P29" s="3"/>
    </row>
    <row r="30" spans="1:16" ht="15">
      <c r="A30" s="3"/>
      <c r="B30" s="90" t="s">
        <v>165</v>
      </c>
      <c r="C30" s="243"/>
      <c r="D30" s="244"/>
      <c r="E30" s="244"/>
      <c r="F30" s="244"/>
      <c r="G30" s="244"/>
      <c r="H30" s="244">
        <f t="shared" ref="H30:O30" si="9">H29*H28</f>
        <v>36</v>
      </c>
      <c r="I30" s="244">
        <f t="shared" ca="1" si="9"/>
        <v>0</v>
      </c>
      <c r="J30" s="244">
        <f t="shared" ca="1" si="9"/>
        <v>0</v>
      </c>
      <c r="K30" s="244">
        <f t="shared" ca="1" si="9"/>
        <v>0</v>
      </c>
      <c r="L30" s="244">
        <f t="shared" ca="1" si="9"/>
        <v>0</v>
      </c>
      <c r="M30" s="244">
        <f t="shared" ca="1" si="9"/>
        <v>0</v>
      </c>
      <c r="N30" s="244">
        <f t="shared" ca="1" si="9"/>
        <v>0</v>
      </c>
      <c r="O30" s="244">
        <f t="shared" ca="1" si="9"/>
        <v>0</v>
      </c>
      <c r="P30" s="3"/>
    </row>
    <row r="31" spans="1:16">
      <c r="A31" s="3"/>
      <c r="B31" s="3"/>
      <c r="C31" s="3"/>
      <c r="D31" s="99"/>
      <c r="E31" s="99"/>
      <c r="F31" s="99"/>
      <c r="G31" s="99"/>
      <c r="H31" s="99"/>
      <c r="I31" s="99"/>
      <c r="J31" s="99"/>
      <c r="K31" s="99"/>
      <c r="L31" s="99"/>
      <c r="M31" s="99"/>
      <c r="N31" s="99"/>
      <c r="O31" s="99"/>
      <c r="P31" s="3"/>
    </row>
    <row r="32" spans="1:16">
      <c r="A32" s="3"/>
      <c r="B32" s="152" t="s">
        <v>315</v>
      </c>
      <c r="C32" s="60"/>
      <c r="D32" s="155"/>
      <c r="E32" s="155"/>
      <c r="F32" s="155"/>
      <c r="G32" s="155"/>
      <c r="H32" s="249">
        <f>AVERAGE(F24:H24)</f>
        <v>25838</v>
      </c>
      <c r="I32" s="249">
        <f t="shared" ref="I32:O32" si="10">AVERAGE(H24:I24)</f>
        <v>16435</v>
      </c>
      <c r="J32" s="249">
        <f t="shared" si="10"/>
        <v>9520</v>
      </c>
      <c r="K32" s="249">
        <f t="shared" si="10"/>
        <v>7380.5</v>
      </c>
      <c r="L32" s="249">
        <f t="shared" si="10"/>
        <v>6901.5</v>
      </c>
      <c r="M32" s="249">
        <f t="shared" si="10"/>
        <v>6422.5</v>
      </c>
      <c r="N32" s="249">
        <f t="shared" si="10"/>
        <v>5943.5</v>
      </c>
      <c r="O32" s="249">
        <f t="shared" si="10"/>
        <v>5464.5</v>
      </c>
      <c r="P32" s="3"/>
    </row>
    <row r="33" spans="1:16">
      <c r="A33" s="3"/>
      <c r="B33" s="3"/>
      <c r="C33" s="156"/>
      <c r="D33" s="158"/>
      <c r="E33" s="158"/>
      <c r="F33" s="158"/>
      <c r="G33" s="158"/>
      <c r="H33" s="157">
        <v>6.3E-2</v>
      </c>
      <c r="I33" s="157">
        <v>6.3E-2</v>
      </c>
      <c r="J33" s="157">
        <v>6.3E-2</v>
      </c>
      <c r="K33" s="157">
        <v>6.3E-2</v>
      </c>
      <c r="L33" s="157">
        <v>6.3E-2</v>
      </c>
      <c r="M33" s="157">
        <v>6.3E-2</v>
      </c>
      <c r="N33" s="157">
        <v>6.3E-2</v>
      </c>
      <c r="O33" s="157">
        <v>6.3E-2</v>
      </c>
      <c r="P33" s="3"/>
    </row>
    <row r="34" spans="1:16" ht="15">
      <c r="A34" s="3"/>
      <c r="B34" s="90" t="s">
        <v>172</v>
      </c>
      <c r="C34" s="243"/>
      <c r="D34" s="244"/>
      <c r="E34" s="244"/>
      <c r="F34" s="244"/>
      <c r="G34" s="244"/>
      <c r="H34" s="250">
        <f t="shared" ref="H34:O34" si="11">H33*H32</f>
        <v>1627.7940000000001</v>
      </c>
      <c r="I34" s="250">
        <f t="shared" si="11"/>
        <v>1035.405</v>
      </c>
      <c r="J34" s="250">
        <f t="shared" si="11"/>
        <v>599.76</v>
      </c>
      <c r="K34" s="250">
        <f t="shared" si="11"/>
        <v>464.97149999999999</v>
      </c>
      <c r="L34" s="250">
        <f t="shared" si="11"/>
        <v>434.79450000000003</v>
      </c>
      <c r="M34" s="250">
        <f t="shared" si="11"/>
        <v>404.61750000000001</v>
      </c>
      <c r="N34" s="250">
        <f t="shared" si="11"/>
        <v>374.44049999999999</v>
      </c>
      <c r="O34" s="250">
        <f t="shared" si="11"/>
        <v>344.26350000000002</v>
      </c>
      <c r="P34" s="3"/>
    </row>
    <row r="35" spans="1:16">
      <c r="A35" s="3"/>
      <c r="B35" s="3"/>
      <c r="C35" s="3"/>
      <c r="D35" s="99"/>
      <c r="E35" s="99"/>
      <c r="F35" s="99"/>
      <c r="G35" s="99"/>
      <c r="H35" s="249"/>
      <c r="I35" s="249"/>
      <c r="J35" s="249"/>
      <c r="K35" s="249"/>
      <c r="L35" s="249"/>
      <c r="M35" s="249"/>
      <c r="N35" s="249"/>
      <c r="O35" s="249"/>
      <c r="P35" s="3"/>
    </row>
    <row r="36" spans="1:16" ht="15.75" thickBot="1">
      <c r="A36" s="3"/>
      <c r="B36" s="245" t="s">
        <v>167</v>
      </c>
      <c r="C36" s="246"/>
      <c r="D36" s="247"/>
      <c r="E36" s="247"/>
      <c r="F36" s="247"/>
      <c r="G36" s="247"/>
      <c r="H36" s="251">
        <f t="shared" ref="H36:O36" si="12">H34+H30</f>
        <v>1663.7940000000001</v>
      </c>
      <c r="I36" s="251">
        <f t="shared" ca="1" si="12"/>
        <v>1035.405</v>
      </c>
      <c r="J36" s="251">
        <f t="shared" ca="1" si="12"/>
        <v>599.76</v>
      </c>
      <c r="K36" s="251">
        <f t="shared" ca="1" si="12"/>
        <v>464.97149999999999</v>
      </c>
      <c r="L36" s="251">
        <f t="shared" ca="1" si="12"/>
        <v>434.79450000000003</v>
      </c>
      <c r="M36" s="251">
        <f t="shared" ca="1" si="12"/>
        <v>404.61750000000001</v>
      </c>
      <c r="N36" s="251">
        <f t="shared" ca="1" si="12"/>
        <v>374.44049999999999</v>
      </c>
      <c r="O36" s="251">
        <f t="shared" ca="1" si="12"/>
        <v>344.26350000000002</v>
      </c>
      <c r="P36" s="3"/>
    </row>
    <row r="37" spans="1:16">
      <c r="A37" s="3"/>
      <c r="B37" s="3"/>
      <c r="C37" s="6"/>
      <c r="D37" s="159"/>
      <c r="E37" s="159"/>
      <c r="F37" s="159"/>
      <c r="G37" s="159"/>
      <c r="H37" s="159"/>
      <c r="I37" s="99"/>
      <c r="J37" s="99"/>
      <c r="K37" s="99"/>
      <c r="L37" s="99"/>
      <c r="M37" s="99"/>
      <c r="N37" s="99"/>
      <c r="O37" s="99"/>
      <c r="P37" s="3"/>
    </row>
    <row r="38" spans="1:16">
      <c r="A38" s="3"/>
      <c r="B38" s="3"/>
      <c r="C38" s="6"/>
      <c r="D38" s="159"/>
      <c r="E38" s="159"/>
      <c r="F38" s="159"/>
      <c r="G38" s="159"/>
      <c r="H38" s="159"/>
      <c r="I38" s="99"/>
      <c r="J38" s="99"/>
      <c r="K38" s="99"/>
      <c r="L38" s="99"/>
      <c r="M38" s="99"/>
      <c r="N38" s="99"/>
      <c r="O38" s="99"/>
      <c r="P38" s="3"/>
    </row>
    <row r="39" spans="1:16">
      <c r="A39" s="3"/>
      <c r="B39" s="152" t="s">
        <v>99</v>
      </c>
      <c r="C39" s="60"/>
      <c r="D39" s="155"/>
      <c r="E39" s="155"/>
      <c r="F39" s="155"/>
      <c r="G39" s="155"/>
      <c r="H39" s="155"/>
      <c r="I39" s="155"/>
      <c r="J39" s="155"/>
      <c r="K39" s="99"/>
      <c r="L39" s="99"/>
      <c r="M39" s="99"/>
      <c r="N39" s="99"/>
      <c r="O39" s="99"/>
      <c r="P39" s="3"/>
    </row>
    <row r="40" spans="1:16">
      <c r="A40" s="3"/>
      <c r="B40" s="3"/>
      <c r="C40" s="160"/>
      <c r="D40" s="161"/>
      <c r="E40" s="161"/>
      <c r="F40" s="161"/>
      <c r="G40" s="161"/>
      <c r="H40" s="161"/>
      <c r="I40" s="161"/>
      <c r="J40" s="161"/>
      <c r="K40" s="99"/>
      <c r="L40" s="99"/>
      <c r="M40" s="99"/>
      <c r="N40" s="99"/>
      <c r="O40" s="99"/>
      <c r="P40" s="3"/>
    </row>
    <row r="41" spans="1:16">
      <c r="A41" s="3"/>
      <c r="B41" s="3" t="s">
        <v>168</v>
      </c>
      <c r="C41" s="6"/>
      <c r="D41" s="159"/>
      <c r="E41" s="164">
        <f>BS!G8</f>
        <v>48550</v>
      </c>
      <c r="F41" s="164"/>
      <c r="G41" s="164"/>
      <c r="H41" s="164">
        <f ca="1">BS!H8</f>
        <v>64630.081134049149</v>
      </c>
      <c r="I41" s="164">
        <f ca="1">BS!I8</f>
        <v>89336.841730190703</v>
      </c>
      <c r="J41" s="164">
        <f ca="1">BS!J8</f>
        <v>131731.54730365437</v>
      </c>
      <c r="K41" s="164">
        <f ca="1">BS!K8</f>
        <v>191888.24765309147</v>
      </c>
      <c r="L41" s="164">
        <f ca="1">BS!L8</f>
        <v>268277.02462912083</v>
      </c>
      <c r="M41" s="164">
        <f ca="1">BS!M8</f>
        <v>354323.72022619547</v>
      </c>
      <c r="N41" s="164">
        <f ca="1">BS!N8</f>
        <v>449749.13352259982</v>
      </c>
      <c r="O41" s="164">
        <f ca="1">BS!O8</f>
        <v>550833.58879229834</v>
      </c>
      <c r="P41" s="3"/>
    </row>
    <row r="42" spans="1:16">
      <c r="A42" s="3"/>
      <c r="B42" s="3" t="s">
        <v>169</v>
      </c>
      <c r="C42" s="3"/>
      <c r="D42" s="99"/>
      <c r="E42" s="164"/>
      <c r="F42" s="164"/>
      <c r="G42" s="164"/>
      <c r="H42" s="164">
        <f ca="1">AVERAGE(E41:H41)</f>
        <v>56590.040567024575</v>
      </c>
      <c r="I42" s="164">
        <f t="shared" ref="I42:O42" ca="1" si="13">AVERAGE(H41:I41)</f>
        <v>76983.461432119919</v>
      </c>
      <c r="J42" s="164">
        <f t="shared" ca="1" si="13"/>
        <v>110534.19451692254</v>
      </c>
      <c r="K42" s="164">
        <f t="shared" ca="1" si="13"/>
        <v>161809.89747837291</v>
      </c>
      <c r="L42" s="164">
        <f t="shared" ca="1" si="13"/>
        <v>230082.63614110614</v>
      </c>
      <c r="M42" s="164">
        <f t="shared" ca="1" si="13"/>
        <v>311300.37242765818</v>
      </c>
      <c r="N42" s="164">
        <f t="shared" ca="1" si="13"/>
        <v>402036.42687439767</v>
      </c>
      <c r="O42" s="164">
        <f t="shared" ca="1" si="13"/>
        <v>500291.36115744908</v>
      </c>
      <c r="P42" s="3"/>
    </row>
    <row r="43" spans="1:16" ht="15" thickBot="1">
      <c r="A43" s="3"/>
      <c r="B43" s="3"/>
      <c r="C43" s="3"/>
      <c r="D43" s="99"/>
      <c r="E43" s="164"/>
      <c r="F43" s="164"/>
      <c r="G43" s="164"/>
      <c r="H43" s="164"/>
      <c r="I43" s="164"/>
      <c r="J43" s="164"/>
      <c r="K43" s="164"/>
      <c r="L43" s="164"/>
      <c r="M43" s="164"/>
      <c r="N43" s="164"/>
      <c r="O43" s="164"/>
      <c r="P43" s="3"/>
    </row>
    <row r="44" spans="1:16" ht="15" thickBot="1">
      <c r="A44" s="3"/>
      <c r="B44" s="3" t="s">
        <v>170</v>
      </c>
      <c r="C44" s="3"/>
      <c r="D44" s="248">
        <v>0.02</v>
      </c>
      <c r="E44" s="164"/>
      <c r="F44" s="164"/>
      <c r="G44" s="164"/>
      <c r="H44" s="164">
        <f t="shared" ref="H44:O44" ca="1" si="14">H42*$D$44</f>
        <v>1131.8008113404915</v>
      </c>
      <c r="I44" s="164">
        <f t="shared" ca="1" si="14"/>
        <v>1539.6692286423984</v>
      </c>
      <c r="J44" s="164">
        <f t="shared" ca="1" si="14"/>
        <v>2210.683890338451</v>
      </c>
      <c r="K44" s="164">
        <f t="shared" ca="1" si="14"/>
        <v>3236.1979495674582</v>
      </c>
      <c r="L44" s="164">
        <f t="shared" ca="1" si="14"/>
        <v>4601.652722822123</v>
      </c>
      <c r="M44" s="164">
        <f t="shared" ca="1" si="14"/>
        <v>6226.0074485531641</v>
      </c>
      <c r="N44" s="164">
        <f t="shared" ca="1" si="14"/>
        <v>8040.7285374879539</v>
      </c>
      <c r="O44" s="164">
        <f t="shared" ca="1" si="14"/>
        <v>10005.827223148981</v>
      </c>
      <c r="P44" s="3"/>
    </row>
    <row r="45" spans="1:16">
      <c r="A45" s="3"/>
      <c r="B45" s="3"/>
      <c r="C45" s="3"/>
      <c r="D45" s="3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3"/>
    </row>
    <row r="46" spans="1:16">
      <c r="E46" s="274"/>
      <c r="F46" s="274"/>
      <c r="G46" s="274"/>
      <c r="H46" s="274"/>
      <c r="I46" s="274"/>
      <c r="J46" s="274"/>
      <c r="K46" s="274"/>
      <c r="L46" s="274"/>
      <c r="M46" s="274"/>
      <c r="N46" s="274"/>
      <c r="O46" s="274"/>
    </row>
  </sheetData>
  <mergeCells count="2">
    <mergeCell ref="C4:G4"/>
    <mergeCell ref="H4:O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FFFF00"/>
  </sheetPr>
  <dimension ref="A1:O11"/>
  <sheetViews>
    <sheetView showGridLines="0" zoomScaleNormal="100" workbookViewId="0">
      <pane xSplit="2" ySplit="5" topLeftCell="C6" activePane="bottomRight" state="frozen"/>
      <selection pane="topRight" activeCell="C1" sqref="C1"/>
      <selection pane="bottomLeft" activeCell="A6" sqref="A6"/>
      <selection pane="bottomRight"/>
    </sheetView>
  </sheetViews>
  <sheetFormatPr defaultRowHeight="15"/>
  <cols>
    <col min="1" max="1" width="2.5703125" style="258" customWidth="1"/>
    <col min="2" max="2" width="43.28515625" style="258" customWidth="1"/>
    <col min="3" max="3" width="10" style="258" customWidth="1"/>
    <col min="4" max="4" width="10.5703125" style="258" customWidth="1"/>
    <col min="5" max="5" width="9.85546875" style="258" bestFit="1" customWidth="1"/>
    <col min="6" max="7" width="11.28515625" style="258" bestFit="1" customWidth="1"/>
    <col min="8" max="8" width="11.42578125" style="258" bestFit="1" customWidth="1"/>
    <col min="9" max="15" width="13" style="258" bestFit="1" customWidth="1"/>
    <col min="16" max="257" width="9.140625" style="258"/>
    <col min="258" max="258" width="37.5703125" style="258" customWidth="1"/>
    <col min="259" max="259" width="12.5703125" style="258" customWidth="1"/>
    <col min="260" max="268" width="13.42578125" style="258" customWidth="1"/>
    <col min="269" max="513" width="9.140625" style="258"/>
    <col min="514" max="514" width="37.5703125" style="258" customWidth="1"/>
    <col min="515" max="515" width="12.5703125" style="258" customWidth="1"/>
    <col min="516" max="524" width="13.42578125" style="258" customWidth="1"/>
    <col min="525" max="769" width="9.140625" style="258"/>
    <col min="770" max="770" width="37.5703125" style="258" customWidth="1"/>
    <col min="771" max="771" width="12.5703125" style="258" customWidth="1"/>
    <col min="772" max="780" width="13.42578125" style="258" customWidth="1"/>
    <col min="781" max="1025" width="9.140625" style="258"/>
    <col min="1026" max="1026" width="37.5703125" style="258" customWidth="1"/>
    <col min="1027" max="1027" width="12.5703125" style="258" customWidth="1"/>
    <col min="1028" max="1036" width="13.42578125" style="258" customWidth="1"/>
    <col min="1037" max="1281" width="9.140625" style="258"/>
    <col min="1282" max="1282" width="37.5703125" style="258" customWidth="1"/>
    <col min="1283" max="1283" width="12.5703125" style="258" customWidth="1"/>
    <col min="1284" max="1292" width="13.42578125" style="258" customWidth="1"/>
    <col min="1293" max="1537" width="9.140625" style="258"/>
    <col min="1538" max="1538" width="37.5703125" style="258" customWidth="1"/>
    <col min="1539" max="1539" width="12.5703125" style="258" customWidth="1"/>
    <col min="1540" max="1548" width="13.42578125" style="258" customWidth="1"/>
    <col min="1549" max="1793" width="9.140625" style="258"/>
    <col min="1794" max="1794" width="37.5703125" style="258" customWidth="1"/>
    <col min="1795" max="1795" width="12.5703125" style="258" customWidth="1"/>
    <col min="1796" max="1804" width="13.42578125" style="258" customWidth="1"/>
    <col min="1805" max="2049" width="9.140625" style="258"/>
    <col min="2050" max="2050" width="37.5703125" style="258" customWidth="1"/>
    <col min="2051" max="2051" width="12.5703125" style="258" customWidth="1"/>
    <col min="2052" max="2060" width="13.42578125" style="258" customWidth="1"/>
    <col min="2061" max="2305" width="9.140625" style="258"/>
    <col min="2306" max="2306" width="37.5703125" style="258" customWidth="1"/>
    <col min="2307" max="2307" width="12.5703125" style="258" customWidth="1"/>
    <col min="2308" max="2316" width="13.42578125" style="258" customWidth="1"/>
    <col min="2317" max="2561" width="9.140625" style="258"/>
    <col min="2562" max="2562" width="37.5703125" style="258" customWidth="1"/>
    <col min="2563" max="2563" width="12.5703125" style="258" customWidth="1"/>
    <col min="2564" max="2572" width="13.42578125" style="258" customWidth="1"/>
    <col min="2573" max="2817" width="9.140625" style="258"/>
    <col min="2818" max="2818" width="37.5703125" style="258" customWidth="1"/>
    <col min="2819" max="2819" width="12.5703125" style="258" customWidth="1"/>
    <col min="2820" max="2828" width="13.42578125" style="258" customWidth="1"/>
    <col min="2829" max="3073" width="9.140625" style="258"/>
    <col min="3074" max="3074" width="37.5703125" style="258" customWidth="1"/>
    <col min="3075" max="3075" width="12.5703125" style="258" customWidth="1"/>
    <col min="3076" max="3084" width="13.42578125" style="258" customWidth="1"/>
    <col min="3085" max="3329" width="9.140625" style="258"/>
    <col min="3330" max="3330" width="37.5703125" style="258" customWidth="1"/>
    <col min="3331" max="3331" width="12.5703125" style="258" customWidth="1"/>
    <col min="3332" max="3340" width="13.42578125" style="258" customWidth="1"/>
    <col min="3341" max="3585" width="9.140625" style="258"/>
    <col min="3586" max="3586" width="37.5703125" style="258" customWidth="1"/>
    <col min="3587" max="3587" width="12.5703125" style="258" customWidth="1"/>
    <col min="3588" max="3596" width="13.42578125" style="258" customWidth="1"/>
    <col min="3597" max="3841" width="9.140625" style="258"/>
    <col min="3842" max="3842" width="37.5703125" style="258" customWidth="1"/>
    <col min="3843" max="3843" width="12.5703125" style="258" customWidth="1"/>
    <col min="3844" max="3852" width="13.42578125" style="258" customWidth="1"/>
    <col min="3853" max="4097" width="9.140625" style="258"/>
    <col min="4098" max="4098" width="37.5703125" style="258" customWidth="1"/>
    <col min="4099" max="4099" width="12.5703125" style="258" customWidth="1"/>
    <col min="4100" max="4108" width="13.42578125" style="258" customWidth="1"/>
    <col min="4109" max="4353" width="9.140625" style="258"/>
    <col min="4354" max="4354" width="37.5703125" style="258" customWidth="1"/>
    <col min="4355" max="4355" width="12.5703125" style="258" customWidth="1"/>
    <col min="4356" max="4364" width="13.42578125" style="258" customWidth="1"/>
    <col min="4365" max="4609" width="9.140625" style="258"/>
    <col min="4610" max="4610" width="37.5703125" style="258" customWidth="1"/>
    <col min="4611" max="4611" width="12.5703125" style="258" customWidth="1"/>
    <col min="4612" max="4620" width="13.42578125" style="258" customWidth="1"/>
    <col min="4621" max="4865" width="9.140625" style="258"/>
    <col min="4866" max="4866" width="37.5703125" style="258" customWidth="1"/>
    <col min="4867" max="4867" width="12.5703125" style="258" customWidth="1"/>
    <col min="4868" max="4876" width="13.42578125" style="258" customWidth="1"/>
    <col min="4877" max="5121" width="9.140625" style="258"/>
    <col min="5122" max="5122" width="37.5703125" style="258" customWidth="1"/>
    <col min="5123" max="5123" width="12.5703125" style="258" customWidth="1"/>
    <col min="5124" max="5132" width="13.42578125" style="258" customWidth="1"/>
    <col min="5133" max="5377" width="9.140625" style="258"/>
    <col min="5378" max="5378" width="37.5703125" style="258" customWidth="1"/>
    <col min="5379" max="5379" width="12.5703125" style="258" customWidth="1"/>
    <col min="5380" max="5388" width="13.42578125" style="258" customWidth="1"/>
    <col min="5389" max="5633" width="9.140625" style="258"/>
    <col min="5634" max="5634" width="37.5703125" style="258" customWidth="1"/>
    <col min="5635" max="5635" width="12.5703125" style="258" customWidth="1"/>
    <col min="5636" max="5644" width="13.42578125" style="258" customWidth="1"/>
    <col min="5645" max="5889" width="9.140625" style="258"/>
    <col min="5890" max="5890" width="37.5703125" style="258" customWidth="1"/>
    <col min="5891" max="5891" width="12.5703125" style="258" customWidth="1"/>
    <col min="5892" max="5900" width="13.42578125" style="258" customWidth="1"/>
    <col min="5901" max="6145" width="9.140625" style="258"/>
    <col min="6146" max="6146" width="37.5703125" style="258" customWidth="1"/>
    <col min="6147" max="6147" width="12.5703125" style="258" customWidth="1"/>
    <col min="6148" max="6156" width="13.42578125" style="258" customWidth="1"/>
    <col min="6157" max="6401" width="9.140625" style="258"/>
    <col min="6402" max="6402" width="37.5703125" style="258" customWidth="1"/>
    <col min="6403" max="6403" width="12.5703125" style="258" customWidth="1"/>
    <col min="6404" max="6412" width="13.42578125" style="258" customWidth="1"/>
    <col min="6413" max="6657" width="9.140625" style="258"/>
    <col min="6658" max="6658" width="37.5703125" style="258" customWidth="1"/>
    <col min="6659" max="6659" width="12.5703125" style="258" customWidth="1"/>
    <col min="6660" max="6668" width="13.42578125" style="258" customWidth="1"/>
    <col min="6669" max="6913" width="9.140625" style="258"/>
    <col min="6914" max="6914" width="37.5703125" style="258" customWidth="1"/>
    <col min="6915" max="6915" width="12.5703125" style="258" customWidth="1"/>
    <col min="6916" max="6924" width="13.42578125" style="258" customWidth="1"/>
    <col min="6925" max="7169" width="9.140625" style="258"/>
    <col min="7170" max="7170" width="37.5703125" style="258" customWidth="1"/>
    <col min="7171" max="7171" width="12.5703125" style="258" customWidth="1"/>
    <col min="7172" max="7180" width="13.42578125" style="258" customWidth="1"/>
    <col min="7181" max="7425" width="9.140625" style="258"/>
    <col min="7426" max="7426" width="37.5703125" style="258" customWidth="1"/>
    <col min="7427" max="7427" width="12.5703125" style="258" customWidth="1"/>
    <col min="7428" max="7436" width="13.42578125" style="258" customWidth="1"/>
    <col min="7437" max="7681" width="9.140625" style="258"/>
    <col min="7682" max="7682" width="37.5703125" style="258" customWidth="1"/>
    <col min="7683" max="7683" width="12.5703125" style="258" customWidth="1"/>
    <col min="7684" max="7692" width="13.42578125" style="258" customWidth="1"/>
    <col min="7693" max="7937" width="9.140625" style="258"/>
    <col min="7938" max="7938" width="37.5703125" style="258" customWidth="1"/>
    <col min="7939" max="7939" width="12.5703125" style="258" customWidth="1"/>
    <col min="7940" max="7948" width="13.42578125" style="258" customWidth="1"/>
    <col min="7949" max="8193" width="9.140625" style="258"/>
    <col min="8194" max="8194" width="37.5703125" style="258" customWidth="1"/>
    <col min="8195" max="8195" width="12.5703125" style="258" customWidth="1"/>
    <col min="8196" max="8204" width="13.42578125" style="258" customWidth="1"/>
    <col min="8205" max="8449" width="9.140625" style="258"/>
    <col min="8450" max="8450" width="37.5703125" style="258" customWidth="1"/>
    <col min="8451" max="8451" width="12.5703125" style="258" customWidth="1"/>
    <col min="8452" max="8460" width="13.42578125" style="258" customWidth="1"/>
    <col min="8461" max="8705" width="9.140625" style="258"/>
    <col min="8706" max="8706" width="37.5703125" style="258" customWidth="1"/>
    <col min="8707" max="8707" width="12.5703125" style="258" customWidth="1"/>
    <col min="8708" max="8716" width="13.42578125" style="258" customWidth="1"/>
    <col min="8717" max="8961" width="9.140625" style="258"/>
    <col min="8962" max="8962" width="37.5703125" style="258" customWidth="1"/>
    <col min="8963" max="8963" width="12.5703125" style="258" customWidth="1"/>
    <col min="8964" max="8972" width="13.42578125" style="258" customWidth="1"/>
    <col min="8973" max="9217" width="9.140625" style="258"/>
    <col min="9218" max="9218" width="37.5703125" style="258" customWidth="1"/>
    <col min="9219" max="9219" width="12.5703125" style="258" customWidth="1"/>
    <col min="9220" max="9228" width="13.42578125" style="258" customWidth="1"/>
    <col min="9229" max="9473" width="9.140625" style="258"/>
    <col min="9474" max="9474" width="37.5703125" style="258" customWidth="1"/>
    <col min="9475" max="9475" width="12.5703125" style="258" customWidth="1"/>
    <col min="9476" max="9484" width="13.42578125" style="258" customWidth="1"/>
    <col min="9485" max="9729" width="9.140625" style="258"/>
    <col min="9730" max="9730" width="37.5703125" style="258" customWidth="1"/>
    <col min="9731" max="9731" width="12.5703125" style="258" customWidth="1"/>
    <col min="9732" max="9740" width="13.42578125" style="258" customWidth="1"/>
    <col min="9741" max="9985" width="9.140625" style="258"/>
    <col min="9986" max="9986" width="37.5703125" style="258" customWidth="1"/>
    <col min="9987" max="9987" width="12.5703125" style="258" customWidth="1"/>
    <col min="9988" max="9996" width="13.42578125" style="258" customWidth="1"/>
    <col min="9997" max="10241" width="9.140625" style="258"/>
    <col min="10242" max="10242" width="37.5703125" style="258" customWidth="1"/>
    <col min="10243" max="10243" width="12.5703125" style="258" customWidth="1"/>
    <col min="10244" max="10252" width="13.42578125" style="258" customWidth="1"/>
    <col min="10253" max="10497" width="9.140625" style="258"/>
    <col min="10498" max="10498" width="37.5703125" style="258" customWidth="1"/>
    <col min="10499" max="10499" width="12.5703125" style="258" customWidth="1"/>
    <col min="10500" max="10508" width="13.42578125" style="258" customWidth="1"/>
    <col min="10509" max="10753" width="9.140625" style="258"/>
    <col min="10754" max="10754" width="37.5703125" style="258" customWidth="1"/>
    <col min="10755" max="10755" width="12.5703125" style="258" customWidth="1"/>
    <col min="10756" max="10764" width="13.42578125" style="258" customWidth="1"/>
    <col min="10765" max="11009" width="9.140625" style="258"/>
    <col min="11010" max="11010" width="37.5703125" style="258" customWidth="1"/>
    <col min="11011" max="11011" width="12.5703125" style="258" customWidth="1"/>
    <col min="11012" max="11020" width="13.42578125" style="258" customWidth="1"/>
    <col min="11021" max="11265" width="9.140625" style="258"/>
    <col min="11266" max="11266" width="37.5703125" style="258" customWidth="1"/>
    <col min="11267" max="11267" width="12.5703125" style="258" customWidth="1"/>
    <col min="11268" max="11276" width="13.42578125" style="258" customWidth="1"/>
    <col min="11277" max="11521" width="9.140625" style="258"/>
    <col min="11522" max="11522" width="37.5703125" style="258" customWidth="1"/>
    <col min="11523" max="11523" width="12.5703125" style="258" customWidth="1"/>
    <col min="11524" max="11532" width="13.42578125" style="258" customWidth="1"/>
    <col min="11533" max="11777" width="9.140625" style="258"/>
    <col min="11778" max="11778" width="37.5703125" style="258" customWidth="1"/>
    <col min="11779" max="11779" width="12.5703125" style="258" customWidth="1"/>
    <col min="11780" max="11788" width="13.42578125" style="258" customWidth="1"/>
    <col min="11789" max="12033" width="9.140625" style="258"/>
    <col min="12034" max="12034" width="37.5703125" style="258" customWidth="1"/>
    <col min="12035" max="12035" width="12.5703125" style="258" customWidth="1"/>
    <col min="12036" max="12044" width="13.42578125" style="258" customWidth="1"/>
    <col min="12045" max="12289" width="9.140625" style="258"/>
    <col min="12290" max="12290" width="37.5703125" style="258" customWidth="1"/>
    <col min="12291" max="12291" width="12.5703125" style="258" customWidth="1"/>
    <col min="12292" max="12300" width="13.42578125" style="258" customWidth="1"/>
    <col min="12301" max="12545" width="9.140625" style="258"/>
    <col min="12546" max="12546" width="37.5703125" style="258" customWidth="1"/>
    <col min="12547" max="12547" width="12.5703125" style="258" customWidth="1"/>
    <col min="12548" max="12556" width="13.42578125" style="258" customWidth="1"/>
    <col min="12557" max="12801" width="9.140625" style="258"/>
    <col min="12802" max="12802" width="37.5703125" style="258" customWidth="1"/>
    <col min="12803" max="12803" width="12.5703125" style="258" customWidth="1"/>
    <col min="12804" max="12812" width="13.42578125" style="258" customWidth="1"/>
    <col min="12813" max="13057" width="9.140625" style="258"/>
    <col min="13058" max="13058" width="37.5703125" style="258" customWidth="1"/>
    <col min="13059" max="13059" width="12.5703125" style="258" customWidth="1"/>
    <col min="13060" max="13068" width="13.42578125" style="258" customWidth="1"/>
    <col min="13069" max="13313" width="9.140625" style="258"/>
    <col min="13314" max="13314" width="37.5703125" style="258" customWidth="1"/>
    <col min="13315" max="13315" width="12.5703125" style="258" customWidth="1"/>
    <col min="13316" max="13324" width="13.42578125" style="258" customWidth="1"/>
    <col min="13325" max="13569" width="9.140625" style="258"/>
    <col min="13570" max="13570" width="37.5703125" style="258" customWidth="1"/>
    <col min="13571" max="13571" width="12.5703125" style="258" customWidth="1"/>
    <col min="13572" max="13580" width="13.42578125" style="258" customWidth="1"/>
    <col min="13581" max="13825" width="9.140625" style="258"/>
    <col min="13826" max="13826" width="37.5703125" style="258" customWidth="1"/>
    <col min="13827" max="13827" width="12.5703125" style="258" customWidth="1"/>
    <col min="13828" max="13836" width="13.42578125" style="258" customWidth="1"/>
    <col min="13837" max="14081" width="9.140625" style="258"/>
    <col min="14082" max="14082" width="37.5703125" style="258" customWidth="1"/>
    <col min="14083" max="14083" width="12.5703125" style="258" customWidth="1"/>
    <col min="14084" max="14092" width="13.42578125" style="258" customWidth="1"/>
    <col min="14093" max="14337" width="9.140625" style="258"/>
    <col min="14338" max="14338" width="37.5703125" style="258" customWidth="1"/>
    <col min="14339" max="14339" width="12.5703125" style="258" customWidth="1"/>
    <col min="14340" max="14348" width="13.42578125" style="258" customWidth="1"/>
    <col min="14349" max="14593" width="9.140625" style="258"/>
    <col min="14594" max="14594" width="37.5703125" style="258" customWidth="1"/>
    <col min="14595" max="14595" width="12.5703125" style="258" customWidth="1"/>
    <col min="14596" max="14604" width="13.42578125" style="258" customWidth="1"/>
    <col min="14605" max="14849" width="9.140625" style="258"/>
    <col min="14850" max="14850" width="37.5703125" style="258" customWidth="1"/>
    <col min="14851" max="14851" width="12.5703125" style="258" customWidth="1"/>
    <col min="14852" max="14860" width="13.42578125" style="258" customWidth="1"/>
    <col min="14861" max="15105" width="9.140625" style="258"/>
    <col min="15106" max="15106" width="37.5703125" style="258" customWidth="1"/>
    <col min="15107" max="15107" width="12.5703125" style="258" customWidth="1"/>
    <col min="15108" max="15116" width="13.42578125" style="258" customWidth="1"/>
    <col min="15117" max="15361" width="9.140625" style="258"/>
    <col min="15362" max="15362" width="37.5703125" style="258" customWidth="1"/>
    <col min="15363" max="15363" width="12.5703125" style="258" customWidth="1"/>
    <col min="15364" max="15372" width="13.42578125" style="258" customWidth="1"/>
    <col min="15373" max="15617" width="9.140625" style="258"/>
    <col min="15618" max="15618" width="37.5703125" style="258" customWidth="1"/>
    <col min="15619" max="15619" width="12.5703125" style="258" customWidth="1"/>
    <col min="15620" max="15628" width="13.42578125" style="258" customWidth="1"/>
    <col min="15629" max="15873" width="9.140625" style="258"/>
    <col min="15874" max="15874" width="37.5703125" style="258" customWidth="1"/>
    <col min="15875" max="15875" width="12.5703125" style="258" customWidth="1"/>
    <col min="15876" max="15884" width="13.42578125" style="258" customWidth="1"/>
    <col min="15885" max="16129" width="9.140625" style="258"/>
    <col min="16130" max="16130" width="37.5703125" style="258" customWidth="1"/>
    <col min="16131" max="16131" width="12.5703125" style="258" customWidth="1"/>
    <col min="16132" max="16140" width="13.42578125" style="258" customWidth="1"/>
    <col min="16141" max="16384" width="9.140625" style="258"/>
  </cols>
  <sheetData>
    <row r="1" spans="1:15" ht="32.25">
      <c r="A1" s="261" t="str">
        <f>Index!A1</f>
        <v>Alibaba IPO</v>
      </c>
      <c r="B1" s="257"/>
      <c r="C1" s="257"/>
      <c r="D1" s="257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</row>
    <row r="2" spans="1:15" ht="23.25">
      <c r="A2" s="277" t="s">
        <v>38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</row>
    <row r="3" spans="1:15" s="266" customFormat="1" ht="20.25">
      <c r="A3" s="1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spans="1:15" s="266" customFormat="1" ht="18.75" customHeight="1">
      <c r="A4" s="1"/>
      <c r="B4" s="403"/>
      <c r="C4" s="422" t="s">
        <v>101</v>
      </c>
      <c r="D4" s="422"/>
      <c r="E4" s="422"/>
      <c r="F4" s="422"/>
      <c r="G4" s="422"/>
      <c r="H4" s="422" t="s">
        <v>102</v>
      </c>
      <c r="I4" s="422"/>
      <c r="J4" s="422"/>
      <c r="K4" s="422"/>
      <c r="L4" s="422"/>
      <c r="M4" s="422"/>
      <c r="N4" s="422"/>
      <c r="O4" s="422"/>
    </row>
    <row r="5" spans="1:15" s="269" customFormat="1" ht="15.75" thickBot="1">
      <c r="A5" s="8"/>
      <c r="B5" s="165" t="s">
        <v>217</v>
      </c>
      <c r="C5" s="11">
        <f>BS!C4</f>
        <v>40268</v>
      </c>
      <c r="D5" s="11">
        <f>BS!D4</f>
        <v>40633</v>
      </c>
      <c r="E5" s="11">
        <f>BS!E4</f>
        <v>40999</v>
      </c>
      <c r="F5" s="11">
        <f>BS!F4</f>
        <v>41364</v>
      </c>
      <c r="G5" s="11">
        <f>BS!G4</f>
        <v>41729</v>
      </c>
      <c r="H5" s="11">
        <f>BS!H4</f>
        <v>42094</v>
      </c>
      <c r="I5" s="11">
        <f>BS!I4</f>
        <v>42460</v>
      </c>
      <c r="J5" s="11">
        <f>BS!J4</f>
        <v>42825</v>
      </c>
      <c r="K5" s="11">
        <f>BS!K4</f>
        <v>43190</v>
      </c>
      <c r="L5" s="11">
        <f>BS!L4</f>
        <v>43555</v>
      </c>
      <c r="M5" s="11">
        <f>BS!M4</f>
        <v>43921</v>
      </c>
      <c r="N5" s="11">
        <f>BS!N4</f>
        <v>44286</v>
      </c>
      <c r="O5" s="11">
        <f>BS!O4</f>
        <v>44651</v>
      </c>
    </row>
    <row r="6" spans="1:15">
      <c r="A6" s="20"/>
      <c r="B6" s="3" t="s">
        <v>31</v>
      </c>
      <c r="C6" s="56"/>
      <c r="D6" s="137"/>
      <c r="E6" s="137"/>
      <c r="F6" s="137"/>
      <c r="G6" s="137"/>
      <c r="H6" s="21">
        <f t="shared" ref="H6:O6" si="0">G9</f>
        <v>40963</v>
      </c>
      <c r="I6" s="21">
        <f t="shared" ca="1" si="0"/>
        <v>69598.240701179631</v>
      </c>
      <c r="J6" s="21">
        <f t="shared" ca="1" si="0"/>
        <v>106041.22426734809</v>
      </c>
      <c r="K6" s="21">
        <f t="shared" ca="1" si="0"/>
        <v>152681.09557324459</v>
      </c>
      <c r="L6" s="21">
        <f t="shared" ca="1" si="0"/>
        <v>212164.16557870689</v>
      </c>
      <c r="M6" s="21">
        <f t="shared" ca="1" si="0"/>
        <v>286191.33179892076</v>
      </c>
      <c r="N6" s="21">
        <f t="shared" ca="1" si="0"/>
        <v>370341.84681237186</v>
      </c>
      <c r="O6" s="21">
        <f t="shared" ca="1" si="0"/>
        <v>461776.61385000555</v>
      </c>
    </row>
    <row r="7" spans="1:15">
      <c r="A7" s="20"/>
      <c r="B7" s="3" t="s">
        <v>32</v>
      </c>
      <c r="C7" s="56"/>
      <c r="D7" s="138"/>
      <c r="E7" s="138"/>
      <c r="F7" s="138"/>
      <c r="G7" s="138"/>
      <c r="H7" s="22">
        <f ca="1">IS!H42</f>
        <v>28635.240701179639</v>
      </c>
      <c r="I7" s="22">
        <f ca="1">IS!I42</f>
        <v>36442.98356616847</v>
      </c>
      <c r="J7" s="22">
        <f ca="1">IS!J42</f>
        <v>46639.8713058965</v>
      </c>
      <c r="K7" s="22">
        <f ca="1">IS!K42</f>
        <v>59483.070005462301</v>
      </c>
      <c r="L7" s="22">
        <f ca="1">IS!L42</f>
        <v>74027.166220213869</v>
      </c>
      <c r="M7" s="22">
        <f ca="1">IS!M42</f>
        <v>84150.515013451091</v>
      </c>
      <c r="N7" s="22">
        <f ca="1">IS!N42</f>
        <v>91434.767037633719</v>
      </c>
      <c r="O7" s="22">
        <f ca="1">IS!O42</f>
        <v>93931.412774828932</v>
      </c>
    </row>
    <row r="8" spans="1:15">
      <c r="A8" s="20"/>
      <c r="B8" s="3" t="s">
        <v>33</v>
      </c>
      <c r="C8" s="57"/>
      <c r="D8" s="139"/>
      <c r="E8" s="138"/>
      <c r="F8" s="372"/>
      <c r="G8" s="373"/>
      <c r="H8" s="405">
        <f>'Shares Outstanding '!F13</f>
        <v>0</v>
      </c>
      <c r="I8" s="140"/>
      <c r="J8" s="140"/>
      <c r="K8" s="140"/>
      <c r="L8" s="140"/>
      <c r="M8" s="140"/>
      <c r="N8" s="140"/>
      <c r="O8" s="140"/>
    </row>
    <row r="9" spans="1:15">
      <c r="A9" s="20"/>
      <c r="B9" s="3" t="s">
        <v>34</v>
      </c>
      <c r="C9" s="58"/>
      <c r="D9" s="23"/>
      <c r="E9" s="23"/>
      <c r="F9" s="23"/>
      <c r="G9" s="23">
        <f>BS!G59</f>
        <v>40963</v>
      </c>
      <c r="H9" s="23">
        <f t="shared" ref="H9:O9" ca="1" si="1">SUM(H6:H8)</f>
        <v>69598.240701179631</v>
      </c>
      <c r="I9" s="23">
        <f t="shared" ca="1" si="1"/>
        <v>106041.22426734809</v>
      </c>
      <c r="J9" s="23">
        <f t="shared" ca="1" si="1"/>
        <v>152681.09557324459</v>
      </c>
      <c r="K9" s="23">
        <f t="shared" ca="1" si="1"/>
        <v>212164.16557870689</v>
      </c>
      <c r="L9" s="23">
        <f t="shared" ca="1" si="1"/>
        <v>286191.33179892076</v>
      </c>
      <c r="M9" s="23">
        <f t="shared" ca="1" si="1"/>
        <v>370341.84681237186</v>
      </c>
      <c r="N9" s="23">
        <f t="shared" ca="1" si="1"/>
        <v>461776.61385000555</v>
      </c>
      <c r="O9" s="23">
        <f t="shared" ca="1" si="1"/>
        <v>555708.02662483451</v>
      </c>
    </row>
    <row r="10" spans="1:15" ht="14.25" customHeight="1">
      <c r="A10" s="20"/>
      <c r="B10" s="3"/>
      <c r="C10" s="59"/>
      <c r="D10" s="59"/>
      <c r="E10" s="59"/>
      <c r="F10" s="24"/>
      <c r="G10" s="24"/>
      <c r="H10" s="24"/>
      <c r="I10" s="20"/>
      <c r="J10" s="20"/>
      <c r="K10" s="20"/>
      <c r="L10" s="20"/>
      <c r="M10" s="20"/>
      <c r="N10" s="20"/>
      <c r="O10" s="20"/>
    </row>
    <row r="11" spans="1:15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</row>
  </sheetData>
  <mergeCells count="2">
    <mergeCell ref="C4:G4"/>
    <mergeCell ref="H4:O4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FFFF00"/>
  </sheetPr>
  <dimension ref="A1:H42"/>
  <sheetViews>
    <sheetView showGridLines="0" zoomScaleNormal="100" workbookViewId="0"/>
  </sheetViews>
  <sheetFormatPr defaultColWidth="11.42578125" defaultRowHeight="12"/>
  <cols>
    <col min="1" max="1" width="44.28515625" style="287" bestFit="1" customWidth="1"/>
    <col min="2" max="2" width="11.42578125" style="287"/>
    <col min="3" max="3" width="22.140625" style="287" bestFit="1" customWidth="1"/>
    <col min="4" max="4" width="10.140625" style="287" customWidth="1"/>
    <col min="5" max="16384" width="11.42578125" style="287"/>
  </cols>
  <sheetData>
    <row r="1" spans="1:8" s="258" customFormat="1" ht="32.25">
      <c r="A1" s="261" t="str">
        <f>Index!A1</f>
        <v>Alibaba IPO</v>
      </c>
      <c r="B1" s="257"/>
      <c r="C1" s="257"/>
      <c r="D1" s="257"/>
    </row>
    <row r="2" spans="1:8" s="258" customFormat="1" ht="23.25">
      <c r="A2" s="260" t="s">
        <v>322</v>
      </c>
      <c r="B2" s="257"/>
      <c r="C2" s="257"/>
      <c r="D2" s="257"/>
    </row>
    <row r="3" spans="1:8">
      <c r="A3" s="173"/>
      <c r="B3" s="173"/>
      <c r="C3" s="173"/>
      <c r="D3" s="173"/>
    </row>
    <row r="4" spans="1:8" s="284" customFormat="1" ht="18.75">
      <c r="A4" s="170" t="s">
        <v>184</v>
      </c>
      <c r="B4" s="170"/>
      <c r="C4" s="171"/>
      <c r="D4" s="171"/>
    </row>
    <row r="5" spans="1:8" s="285" customFormat="1" ht="12.75">
      <c r="A5" s="175"/>
      <c r="B5" s="174"/>
      <c r="C5" s="175"/>
      <c r="D5" s="175"/>
    </row>
    <row r="6" spans="1:8" s="285" customFormat="1" ht="12.75">
      <c r="A6" s="201" t="s">
        <v>156</v>
      </c>
      <c r="B6" s="202"/>
      <c r="C6" s="203"/>
      <c r="D6" s="203"/>
      <c r="E6" s="286"/>
      <c r="F6" s="286"/>
      <c r="G6" s="286"/>
      <c r="H6" s="286"/>
    </row>
    <row r="7" spans="1:8" ht="12.75">
      <c r="A7" s="172" t="s">
        <v>127</v>
      </c>
      <c r="B7" s="207">
        <f>70</f>
        <v>70</v>
      </c>
      <c r="C7" s="173" t="s">
        <v>325</v>
      </c>
      <c r="D7" s="173"/>
    </row>
    <row r="8" spans="1:8" ht="12.75">
      <c r="A8" s="172" t="s">
        <v>128</v>
      </c>
      <c r="B8" s="206">
        <f>'Shares Outstanding '!E22</f>
        <v>12.33</v>
      </c>
      <c r="C8" s="173"/>
      <c r="D8" s="173"/>
    </row>
    <row r="9" spans="1:8" ht="12.75">
      <c r="A9" s="172" t="s">
        <v>129</v>
      </c>
      <c r="B9" s="205">
        <f>'Shares Outstanding '!F22</f>
        <v>4.0999999999999996</v>
      </c>
      <c r="C9" s="173"/>
      <c r="D9" s="173"/>
    </row>
    <row r="10" spans="1:8" ht="12.75">
      <c r="A10" s="172" t="s">
        <v>130</v>
      </c>
      <c r="B10" s="208">
        <v>0.42</v>
      </c>
      <c r="C10" s="176"/>
      <c r="D10" s="173"/>
    </row>
    <row r="11" spans="1:8" ht="12.75">
      <c r="A11" s="172" t="s">
        <v>131</v>
      </c>
      <c r="B11" s="209">
        <v>0</v>
      </c>
      <c r="C11" s="173"/>
      <c r="D11" s="173"/>
    </row>
    <row r="12" spans="1:8" ht="12.75">
      <c r="A12" s="172" t="s">
        <v>132</v>
      </c>
      <c r="B12" s="209">
        <v>2.7E-2</v>
      </c>
      <c r="C12" s="173"/>
      <c r="D12" s="173"/>
    </row>
    <row r="13" spans="1:8" ht="12.75">
      <c r="A13" s="172" t="s">
        <v>133</v>
      </c>
      <c r="B13" s="406">
        <f>'Shares Outstanding '!D24/10^6</f>
        <v>54.279499999999999</v>
      </c>
      <c r="C13" s="173"/>
      <c r="D13" s="173"/>
      <c r="G13" s="288"/>
    </row>
    <row r="14" spans="1:8" ht="12.75">
      <c r="A14" s="172" t="s">
        <v>134</v>
      </c>
      <c r="B14" s="210">
        <f>'Shares Outstanding '!C12/10^3</f>
        <v>2446645.889</v>
      </c>
      <c r="C14" s="173"/>
      <c r="D14" s="173"/>
    </row>
    <row r="15" spans="1:8" ht="12.75">
      <c r="A15" s="172"/>
      <c r="B15" s="172"/>
      <c r="C15" s="173"/>
      <c r="D15" s="173"/>
    </row>
    <row r="16" spans="1:8" s="291" customFormat="1" ht="12.75">
      <c r="A16" s="201" t="s">
        <v>163</v>
      </c>
      <c r="B16" s="218"/>
      <c r="C16" s="218"/>
      <c r="D16" s="218"/>
      <c r="E16" s="289"/>
      <c r="F16" s="289"/>
      <c r="G16" s="290"/>
      <c r="H16" s="289"/>
    </row>
    <row r="17" spans="1:8" s="291" customFormat="1" ht="12.75">
      <c r="A17" s="219"/>
      <c r="B17" s="219"/>
      <c r="C17" s="219"/>
      <c r="D17" s="219"/>
      <c r="E17" s="289"/>
      <c r="F17" s="289"/>
      <c r="G17" s="290"/>
      <c r="H17" s="289"/>
    </row>
    <row r="18" spans="1:8" s="291" customFormat="1" ht="12.75">
      <c r="A18" s="172" t="s">
        <v>135</v>
      </c>
      <c r="B18" s="212">
        <f>B7</f>
        <v>70</v>
      </c>
      <c r="C18" s="172"/>
      <c r="D18" s="172"/>
      <c r="G18" s="292"/>
    </row>
    <row r="19" spans="1:8" s="291" customFormat="1" ht="12.75">
      <c r="A19" s="172" t="s">
        <v>136</v>
      </c>
      <c r="B19" s="212">
        <f>B8</f>
        <v>12.33</v>
      </c>
      <c r="C19" s="172"/>
      <c r="D19" s="172"/>
    </row>
    <row r="20" spans="1:8" s="291" customFormat="1" ht="12.75">
      <c r="A20" s="172" t="s">
        <v>137</v>
      </c>
      <c r="B20" s="213">
        <f ca="1">(B18*B25+B24*B37)/(B24+B25)</f>
        <v>69.999757701336122</v>
      </c>
      <c r="C20" s="172"/>
      <c r="D20" s="172"/>
    </row>
    <row r="21" spans="1:8" s="291" customFormat="1" ht="12.75">
      <c r="A21" s="172" t="s">
        <v>138</v>
      </c>
      <c r="B21" s="212">
        <f>B19</f>
        <v>12.33</v>
      </c>
      <c r="C21" s="172"/>
      <c r="D21" s="172"/>
    </row>
    <row r="22" spans="1:8" s="291" customFormat="1" ht="12.75">
      <c r="A22" s="172" t="s">
        <v>139</v>
      </c>
      <c r="B22" s="212">
        <f>B9</f>
        <v>4.0999999999999996</v>
      </c>
      <c r="C22" s="176"/>
      <c r="D22" s="172"/>
    </row>
    <row r="23" spans="1:8" s="291" customFormat="1" ht="12.75">
      <c r="A23" s="172"/>
      <c r="B23" s="172"/>
      <c r="C23" s="172"/>
      <c r="D23" s="172"/>
    </row>
    <row r="24" spans="1:8" s="291" customFormat="1" ht="12.75">
      <c r="A24" s="172" t="s">
        <v>157</v>
      </c>
      <c r="B24" s="214">
        <f>B13</f>
        <v>54.279499999999999</v>
      </c>
      <c r="C24" s="172"/>
      <c r="D24" s="172"/>
    </row>
    <row r="25" spans="1:8" s="291" customFormat="1" ht="12.75">
      <c r="A25" s="172" t="s">
        <v>158</v>
      </c>
      <c r="B25" s="215">
        <f>B14</f>
        <v>2446645.889</v>
      </c>
      <c r="C25" s="172"/>
      <c r="D25" s="172"/>
    </row>
    <row r="26" spans="1:8" s="291" customFormat="1" ht="12.75">
      <c r="A26" s="172" t="s">
        <v>159</v>
      </c>
      <c r="B26" s="200">
        <f>B12</f>
        <v>2.7E-2</v>
      </c>
      <c r="C26" s="172"/>
      <c r="D26" s="172"/>
    </row>
    <row r="27" spans="1:8" s="291" customFormat="1" ht="12.75">
      <c r="A27" s="172" t="s">
        <v>160</v>
      </c>
      <c r="B27" s="216">
        <f>B10^2</f>
        <v>0.17639999999999997</v>
      </c>
      <c r="C27" s="172"/>
      <c r="D27" s="172"/>
    </row>
    <row r="28" spans="1:8" s="291" customFormat="1" ht="12.75">
      <c r="A28" s="172" t="s">
        <v>161</v>
      </c>
      <c r="B28" s="200">
        <f>B11</f>
        <v>0</v>
      </c>
      <c r="C28" s="172"/>
      <c r="D28" s="172"/>
    </row>
    <row r="29" spans="1:8" s="291" customFormat="1" ht="12.75">
      <c r="A29" s="172" t="s">
        <v>162</v>
      </c>
      <c r="B29" s="200">
        <f>B26-B28</f>
        <v>2.7E-2</v>
      </c>
      <c r="C29" s="172"/>
      <c r="D29" s="172"/>
    </row>
    <row r="30" spans="1:8" s="291" customFormat="1" ht="12.75">
      <c r="A30" s="172"/>
      <c r="B30" s="172"/>
      <c r="C30" s="172"/>
      <c r="D30" s="172"/>
    </row>
    <row r="31" spans="1:8" s="291" customFormat="1" ht="12.75">
      <c r="A31" s="172" t="s">
        <v>140</v>
      </c>
      <c r="B31" s="217">
        <f ca="1">(LN(B20/B21)+(B29+(B27/2))*B22)/(((B27)^(0.5))*(B22^0.5))</f>
        <v>2.5972308158810873</v>
      </c>
      <c r="C31" s="172"/>
      <c r="D31" s="172"/>
    </row>
    <row r="32" spans="1:8" s="291" customFormat="1" ht="12.75">
      <c r="A32" s="172" t="s">
        <v>141</v>
      </c>
      <c r="B32" s="217">
        <f ca="1">NORMSDIST(B31)</f>
        <v>0.9953010625491745</v>
      </c>
      <c r="C32" s="172"/>
      <c r="D32" s="172"/>
    </row>
    <row r="33" spans="1:7" s="291" customFormat="1" ht="12.75">
      <c r="A33" s="172"/>
      <c r="B33" s="211"/>
      <c r="C33" s="172"/>
      <c r="D33" s="172"/>
    </row>
    <row r="34" spans="1:7" s="291" customFormat="1" ht="12.75">
      <c r="A34" s="172" t="s">
        <v>142</v>
      </c>
      <c r="B34" s="217">
        <f ca="1">B31-((B27^0.5)*(B22^(0.5)))</f>
        <v>1.7467956331657908</v>
      </c>
      <c r="C34" s="172"/>
      <c r="D34" s="172"/>
    </row>
    <row r="35" spans="1:7" s="291" customFormat="1" ht="12.75">
      <c r="A35" s="172" t="s">
        <v>143</v>
      </c>
      <c r="B35" s="217">
        <f ca="1">NORMSDIST(B34)</f>
        <v>0.95966360282527374</v>
      </c>
      <c r="C35" s="172"/>
      <c r="D35" s="172"/>
    </row>
    <row r="36" spans="1:7" s="291" customFormat="1" ht="13.5" thickBot="1">
      <c r="A36" s="172"/>
      <c r="B36" s="172"/>
      <c r="C36" s="172"/>
      <c r="D36" s="172"/>
    </row>
    <row r="37" spans="1:7" s="291" customFormat="1" ht="13.5" thickBot="1">
      <c r="A37" s="172" t="s">
        <v>323</v>
      </c>
      <c r="B37" s="177">
        <f ca="1">((EXP((0-B28)*B22))*B20*B32-B21*(EXP((0-B26)*B22))*B35)</f>
        <v>59.078156915239617</v>
      </c>
      <c r="C37" s="172"/>
      <c r="D37" s="172"/>
    </row>
    <row r="38" spans="1:7" s="291" customFormat="1" ht="15.75" customHeight="1" thickBot="1">
      <c r="A38" s="172"/>
      <c r="B38" s="172"/>
      <c r="C38" s="172"/>
      <c r="D38" s="172"/>
    </row>
    <row r="39" spans="1:7" s="291" customFormat="1" ht="13.5" thickBot="1">
      <c r="A39" s="172" t="s">
        <v>324</v>
      </c>
      <c r="B39" s="204">
        <f ca="1">B37*B13</f>
        <v>3206.7328182807487</v>
      </c>
      <c r="C39" s="172"/>
      <c r="D39" s="172"/>
    </row>
    <row r="40" spans="1:7" ht="12.75">
      <c r="A40" s="172"/>
      <c r="B40" s="172"/>
      <c r="C40" s="173"/>
      <c r="D40" s="173"/>
    </row>
    <row r="41" spans="1:7" s="291" customFormat="1" ht="12.75">
      <c r="A41" s="172"/>
      <c r="B41" s="172"/>
      <c r="C41" s="172"/>
      <c r="D41" s="172"/>
      <c r="G41" s="293"/>
    </row>
    <row r="42" spans="1:7" s="291" customFormat="1" ht="12.75"/>
  </sheetData>
  <pageMargins left="0.75" right="0.75" top="1" bottom="1" header="0.5" footer="0.5"/>
  <pageSetup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FFFF00"/>
  </sheetPr>
  <dimension ref="A1:G26"/>
  <sheetViews>
    <sheetView showGridLines="0" zoomScaleNormal="100" workbookViewId="0"/>
  </sheetViews>
  <sheetFormatPr defaultRowHeight="12.75"/>
  <cols>
    <col min="1" max="1" width="3" style="295" customWidth="1"/>
    <col min="2" max="2" width="32.5703125" style="295" bestFit="1" customWidth="1"/>
    <col min="3" max="3" width="20.28515625" style="295" bestFit="1" customWidth="1"/>
    <col min="4" max="4" width="18.42578125" style="295" bestFit="1" customWidth="1"/>
    <col min="5" max="5" width="14.85546875" style="295" customWidth="1"/>
    <col min="6" max="6" width="26.140625" style="295" customWidth="1"/>
    <col min="7" max="7" width="23.28515625" style="295" customWidth="1"/>
    <col min="8" max="8" width="13.85546875" style="295" bestFit="1" customWidth="1"/>
    <col min="9" max="241" width="9.140625" style="295"/>
    <col min="242" max="242" width="37.5703125" style="295" customWidth="1"/>
    <col min="243" max="497" width="9.140625" style="295"/>
    <col min="498" max="498" width="37.5703125" style="295" customWidth="1"/>
    <col min="499" max="753" width="9.140625" style="295"/>
    <col min="754" max="754" width="37.5703125" style="295" customWidth="1"/>
    <col min="755" max="1009" width="9.140625" style="295"/>
    <col min="1010" max="1010" width="37.5703125" style="295" customWidth="1"/>
    <col min="1011" max="1265" width="9.140625" style="295"/>
    <col min="1266" max="1266" width="37.5703125" style="295" customWidth="1"/>
    <col min="1267" max="1521" width="9.140625" style="295"/>
    <col min="1522" max="1522" width="37.5703125" style="295" customWidth="1"/>
    <col min="1523" max="1777" width="9.140625" style="295"/>
    <col min="1778" max="1778" width="37.5703125" style="295" customWidth="1"/>
    <col min="1779" max="2033" width="9.140625" style="295"/>
    <col min="2034" max="2034" width="37.5703125" style="295" customWidth="1"/>
    <col min="2035" max="2289" width="9.140625" style="295"/>
    <col min="2290" max="2290" width="37.5703125" style="295" customWidth="1"/>
    <col min="2291" max="2545" width="9.140625" style="295"/>
    <col min="2546" max="2546" width="37.5703125" style="295" customWidth="1"/>
    <col min="2547" max="2801" width="9.140625" style="295"/>
    <col min="2802" max="2802" width="37.5703125" style="295" customWidth="1"/>
    <col min="2803" max="3057" width="9.140625" style="295"/>
    <col min="3058" max="3058" width="37.5703125" style="295" customWidth="1"/>
    <col min="3059" max="3313" width="9.140625" style="295"/>
    <col min="3314" max="3314" width="37.5703125" style="295" customWidth="1"/>
    <col min="3315" max="3569" width="9.140625" style="295"/>
    <col min="3570" max="3570" width="37.5703125" style="295" customWidth="1"/>
    <col min="3571" max="3825" width="9.140625" style="295"/>
    <col min="3826" max="3826" width="37.5703125" style="295" customWidth="1"/>
    <col min="3827" max="4081" width="9.140625" style="295"/>
    <col min="4082" max="4082" width="37.5703125" style="295" customWidth="1"/>
    <col min="4083" max="4337" width="9.140625" style="295"/>
    <col min="4338" max="4338" width="37.5703125" style="295" customWidth="1"/>
    <col min="4339" max="4593" width="9.140625" style="295"/>
    <col min="4594" max="4594" width="37.5703125" style="295" customWidth="1"/>
    <col min="4595" max="4849" width="9.140625" style="295"/>
    <col min="4850" max="4850" width="37.5703125" style="295" customWidth="1"/>
    <col min="4851" max="5105" width="9.140625" style="295"/>
    <col min="5106" max="5106" width="37.5703125" style="295" customWidth="1"/>
    <col min="5107" max="5361" width="9.140625" style="295"/>
    <col min="5362" max="5362" width="37.5703125" style="295" customWidth="1"/>
    <col min="5363" max="5617" width="9.140625" style="295"/>
    <col min="5618" max="5618" width="37.5703125" style="295" customWidth="1"/>
    <col min="5619" max="5873" width="9.140625" style="295"/>
    <col min="5874" max="5874" width="37.5703125" style="295" customWidth="1"/>
    <col min="5875" max="6129" width="9.140625" style="295"/>
    <col min="6130" max="6130" width="37.5703125" style="295" customWidth="1"/>
    <col min="6131" max="6385" width="9.140625" style="295"/>
    <col min="6386" max="6386" width="37.5703125" style="295" customWidth="1"/>
    <col min="6387" max="6641" width="9.140625" style="295"/>
    <col min="6642" max="6642" width="37.5703125" style="295" customWidth="1"/>
    <col min="6643" max="6897" width="9.140625" style="295"/>
    <col min="6898" max="6898" width="37.5703125" style="295" customWidth="1"/>
    <col min="6899" max="7153" width="9.140625" style="295"/>
    <col min="7154" max="7154" width="37.5703125" style="295" customWidth="1"/>
    <col min="7155" max="7409" width="9.140625" style="295"/>
    <col min="7410" max="7410" width="37.5703125" style="295" customWidth="1"/>
    <col min="7411" max="7665" width="9.140625" style="295"/>
    <col min="7666" max="7666" width="37.5703125" style="295" customWidth="1"/>
    <col min="7667" max="7921" width="9.140625" style="295"/>
    <col min="7922" max="7922" width="37.5703125" style="295" customWidth="1"/>
    <col min="7923" max="8177" width="9.140625" style="295"/>
    <col min="8178" max="8178" width="37.5703125" style="295" customWidth="1"/>
    <col min="8179" max="8433" width="9.140625" style="295"/>
    <col min="8434" max="8434" width="37.5703125" style="295" customWidth="1"/>
    <col min="8435" max="8689" width="9.140625" style="295"/>
    <col min="8690" max="8690" width="37.5703125" style="295" customWidth="1"/>
    <col min="8691" max="8945" width="9.140625" style="295"/>
    <col min="8946" max="8946" width="37.5703125" style="295" customWidth="1"/>
    <col min="8947" max="9201" width="9.140625" style="295"/>
    <col min="9202" max="9202" width="37.5703125" style="295" customWidth="1"/>
    <col min="9203" max="9457" width="9.140625" style="295"/>
    <col min="9458" max="9458" width="37.5703125" style="295" customWidth="1"/>
    <col min="9459" max="9713" width="9.140625" style="295"/>
    <col min="9714" max="9714" width="37.5703125" style="295" customWidth="1"/>
    <col min="9715" max="9969" width="9.140625" style="295"/>
    <col min="9970" max="9970" width="37.5703125" style="295" customWidth="1"/>
    <col min="9971" max="10225" width="9.140625" style="295"/>
    <col min="10226" max="10226" width="37.5703125" style="295" customWidth="1"/>
    <col min="10227" max="10481" width="9.140625" style="295"/>
    <col min="10482" max="10482" width="37.5703125" style="295" customWidth="1"/>
    <col min="10483" max="10737" width="9.140625" style="295"/>
    <col min="10738" max="10738" width="37.5703125" style="295" customWidth="1"/>
    <col min="10739" max="10993" width="9.140625" style="295"/>
    <col min="10994" max="10994" width="37.5703125" style="295" customWidth="1"/>
    <col min="10995" max="11249" width="9.140625" style="295"/>
    <col min="11250" max="11250" width="37.5703125" style="295" customWidth="1"/>
    <col min="11251" max="11505" width="9.140625" style="295"/>
    <col min="11506" max="11506" width="37.5703125" style="295" customWidth="1"/>
    <col min="11507" max="11761" width="9.140625" style="295"/>
    <col min="11762" max="11762" width="37.5703125" style="295" customWidth="1"/>
    <col min="11763" max="12017" width="9.140625" style="295"/>
    <col min="12018" max="12018" width="37.5703125" style="295" customWidth="1"/>
    <col min="12019" max="12273" width="9.140625" style="295"/>
    <col min="12274" max="12274" width="37.5703125" style="295" customWidth="1"/>
    <col min="12275" max="12529" width="9.140625" style="295"/>
    <col min="12530" max="12530" width="37.5703125" style="295" customWidth="1"/>
    <col min="12531" max="12785" width="9.140625" style="295"/>
    <col min="12786" max="12786" width="37.5703125" style="295" customWidth="1"/>
    <col min="12787" max="13041" width="9.140625" style="295"/>
    <col min="13042" max="13042" width="37.5703125" style="295" customWidth="1"/>
    <col min="13043" max="13297" width="9.140625" style="295"/>
    <col min="13298" max="13298" width="37.5703125" style="295" customWidth="1"/>
    <col min="13299" max="13553" width="9.140625" style="295"/>
    <col min="13554" max="13554" width="37.5703125" style="295" customWidth="1"/>
    <col min="13555" max="13809" width="9.140625" style="295"/>
    <col min="13810" max="13810" width="37.5703125" style="295" customWidth="1"/>
    <col min="13811" max="14065" width="9.140625" style="295"/>
    <col min="14066" max="14066" width="37.5703125" style="295" customWidth="1"/>
    <col min="14067" max="14321" width="9.140625" style="295"/>
    <col min="14322" max="14322" width="37.5703125" style="295" customWidth="1"/>
    <col min="14323" max="14577" width="9.140625" style="295"/>
    <col min="14578" max="14578" width="37.5703125" style="295" customWidth="1"/>
    <col min="14579" max="14833" width="9.140625" style="295"/>
    <col min="14834" max="14834" width="37.5703125" style="295" customWidth="1"/>
    <col min="14835" max="15089" width="9.140625" style="295"/>
    <col min="15090" max="15090" width="37.5703125" style="295" customWidth="1"/>
    <col min="15091" max="15345" width="9.140625" style="295"/>
    <col min="15346" max="15346" width="37.5703125" style="295" customWidth="1"/>
    <col min="15347" max="15601" width="9.140625" style="295"/>
    <col min="15602" max="15602" width="37.5703125" style="295" customWidth="1"/>
    <col min="15603" max="15857" width="9.140625" style="295"/>
    <col min="15858" max="15858" width="37.5703125" style="295" customWidth="1"/>
    <col min="15859" max="16113" width="9.140625" style="295"/>
    <col min="16114" max="16114" width="37.5703125" style="295" customWidth="1"/>
    <col min="16115" max="16384" width="9.140625" style="295"/>
  </cols>
  <sheetData>
    <row r="1" spans="1:7" s="258" customFormat="1" ht="32.25">
      <c r="A1" s="261" t="str">
        <f>Index!A1</f>
        <v>Alibaba IPO</v>
      </c>
      <c r="B1" s="257"/>
      <c r="C1" s="257"/>
      <c r="D1" s="257"/>
      <c r="E1" s="257"/>
      <c r="F1" s="257"/>
      <c r="G1" s="257"/>
    </row>
    <row r="2" spans="1:7" s="258" customFormat="1" ht="23.25">
      <c r="A2" s="260" t="s">
        <v>196</v>
      </c>
      <c r="B2" s="257"/>
      <c r="C2" s="257"/>
      <c r="D2" s="257"/>
      <c r="E2" s="257"/>
      <c r="F2" s="257"/>
      <c r="G2" s="257"/>
    </row>
    <row r="3" spans="1:7" s="258" customFormat="1" ht="14.25" customHeight="1">
      <c r="A3" s="294"/>
      <c r="B3" s="254"/>
      <c r="C3" s="254"/>
      <c r="D3" s="254"/>
      <c r="E3" s="254"/>
      <c r="F3" s="254"/>
      <c r="G3" s="254"/>
    </row>
    <row r="4" spans="1:7">
      <c r="A4" s="181"/>
      <c r="B4" s="190" t="s">
        <v>155</v>
      </c>
      <c r="C4" s="189"/>
      <c r="D4" s="189"/>
      <c r="E4" s="189"/>
      <c r="F4" s="189"/>
      <c r="G4" s="189"/>
    </row>
    <row r="5" spans="1:7">
      <c r="A5" s="181"/>
      <c r="B5" s="181"/>
      <c r="C5" s="181"/>
      <c r="D5" s="181"/>
      <c r="E5" s="181"/>
      <c r="F5" s="181"/>
      <c r="G5" s="181"/>
    </row>
    <row r="6" spans="1:7">
      <c r="A6" s="182"/>
      <c r="B6" s="227" t="s">
        <v>150</v>
      </c>
      <c r="C6" s="226"/>
      <c r="D6" s="226"/>
      <c r="E6" s="226"/>
      <c r="F6" s="226"/>
      <c r="G6" s="226"/>
    </row>
    <row r="7" spans="1:7">
      <c r="A7" s="181"/>
      <c r="B7" s="183"/>
      <c r="C7" s="193">
        <v>0</v>
      </c>
      <c r="D7" s="183"/>
      <c r="E7" s="317"/>
      <c r="F7" s="181"/>
      <c r="G7" s="181"/>
    </row>
    <row r="8" spans="1:7" s="296" customFormat="1">
      <c r="A8" s="178"/>
      <c r="B8" s="183" t="s">
        <v>312</v>
      </c>
      <c r="C8" s="193">
        <v>2321114237</v>
      </c>
      <c r="D8" s="183"/>
      <c r="E8" s="87"/>
      <c r="F8" s="368"/>
      <c r="G8" s="178"/>
    </row>
    <row r="9" spans="1:7">
      <c r="A9" s="181"/>
      <c r="B9" s="183" t="s">
        <v>312</v>
      </c>
      <c r="C9" s="193">
        <v>47670100</v>
      </c>
      <c r="D9" s="183" t="s">
        <v>144</v>
      </c>
      <c r="E9" s="184"/>
      <c r="F9" s="368"/>
      <c r="G9" s="369"/>
    </row>
    <row r="10" spans="1:7">
      <c r="A10" s="181"/>
      <c r="B10" s="183" t="s">
        <v>312</v>
      </c>
      <c r="C10" s="193">
        <v>77861552</v>
      </c>
      <c r="D10" s="183" t="s">
        <v>145</v>
      </c>
      <c r="E10" s="185"/>
      <c r="F10" s="368"/>
      <c r="G10" s="369"/>
    </row>
    <row r="11" spans="1:7">
      <c r="A11" s="181"/>
      <c r="B11" s="228" t="s">
        <v>313</v>
      </c>
      <c r="C11" s="229"/>
      <c r="D11" s="183" t="s">
        <v>175</v>
      </c>
      <c r="E11" s="185"/>
      <c r="F11" s="185"/>
      <c r="G11" s="220"/>
    </row>
    <row r="12" spans="1:7" ht="13.5" thickBot="1">
      <c r="A12" s="181"/>
      <c r="B12" s="192"/>
      <c r="C12" s="194">
        <f>SUM(C8:C11)</f>
        <v>2446645889</v>
      </c>
      <c r="D12" s="253"/>
      <c r="E12" s="186"/>
      <c r="F12" s="186"/>
      <c r="G12" s="370"/>
    </row>
    <row r="13" spans="1:7" ht="13.5" thickTop="1">
      <c r="A13" s="181"/>
      <c r="B13" s="181"/>
      <c r="C13" s="179"/>
      <c r="D13" s="180"/>
      <c r="E13" s="180"/>
      <c r="F13" s="371"/>
      <c r="G13" s="220"/>
    </row>
    <row r="14" spans="1:7">
      <c r="A14" s="181"/>
      <c r="B14" s="181"/>
      <c r="C14" s="187"/>
      <c r="D14" s="188"/>
      <c r="E14" s="188"/>
      <c r="F14" s="188"/>
      <c r="G14" s="181"/>
    </row>
    <row r="15" spans="1:7">
      <c r="A15" s="181"/>
      <c r="B15" s="190" t="s">
        <v>147</v>
      </c>
      <c r="C15" s="191"/>
      <c r="D15" s="191"/>
      <c r="E15" s="191"/>
      <c r="F15" s="191"/>
      <c r="G15" s="189"/>
    </row>
    <row r="16" spans="1:7">
      <c r="A16" s="220"/>
      <c r="B16" s="221"/>
      <c r="C16" s="222"/>
      <c r="D16" s="222"/>
      <c r="E16" s="222"/>
      <c r="F16" s="222"/>
      <c r="G16" s="223"/>
    </row>
    <row r="17" spans="1:7" ht="38.25">
      <c r="A17" s="181"/>
      <c r="B17" s="224" t="s">
        <v>39</v>
      </c>
      <c r="C17" s="224"/>
      <c r="D17" s="225" t="s">
        <v>151</v>
      </c>
      <c r="E17" s="225" t="s">
        <v>152</v>
      </c>
      <c r="F17" s="225" t="s">
        <v>153</v>
      </c>
      <c r="G17" s="225" t="s">
        <v>154</v>
      </c>
    </row>
    <row r="18" spans="1:7">
      <c r="A18" s="181"/>
      <c r="B18" s="181" t="s">
        <v>326</v>
      </c>
      <c r="C18" s="181"/>
      <c r="D18" s="195">
        <v>26189060</v>
      </c>
      <c r="E18" s="181"/>
      <c r="F18" s="181"/>
      <c r="G18" s="195"/>
    </row>
    <row r="19" spans="1:7">
      <c r="A19" s="181"/>
      <c r="B19" s="181" t="s">
        <v>148</v>
      </c>
      <c r="C19" s="181"/>
      <c r="D19" s="195">
        <v>8095500</v>
      </c>
      <c r="E19" s="181"/>
      <c r="F19" s="181"/>
      <c r="G19" s="195"/>
    </row>
    <row r="20" spans="1:7">
      <c r="A20" s="181"/>
      <c r="B20" s="181" t="s">
        <v>149</v>
      </c>
      <c r="C20" s="181"/>
      <c r="D20" s="195">
        <v>-16619426</v>
      </c>
      <c r="E20" s="181"/>
      <c r="F20" s="181"/>
      <c r="G20" s="195"/>
    </row>
    <row r="21" spans="1:7">
      <c r="A21" s="181"/>
      <c r="B21" s="181" t="s">
        <v>328</v>
      </c>
      <c r="C21" s="181"/>
      <c r="D21" s="195">
        <v>-1308213</v>
      </c>
      <c r="E21" s="181"/>
      <c r="F21" s="181"/>
      <c r="G21" s="195"/>
    </row>
    <row r="22" spans="1:7" ht="13.5" thickBot="1">
      <c r="A22" s="181"/>
      <c r="B22" s="196" t="s">
        <v>327</v>
      </c>
      <c r="C22" s="196"/>
      <c r="D22" s="197">
        <f>SUM(D18:D21)</f>
        <v>16356921</v>
      </c>
      <c r="E22" s="198">
        <v>12.33</v>
      </c>
      <c r="F22" s="198">
        <v>4.0999999999999996</v>
      </c>
      <c r="G22" s="199"/>
    </row>
    <row r="23" spans="1:7" ht="13.5" thickTop="1">
      <c r="A23" s="181"/>
      <c r="B23" s="181"/>
      <c r="C23" s="181"/>
      <c r="D23" s="181"/>
      <c r="E23" s="181"/>
      <c r="F23" s="181"/>
      <c r="G23" s="181"/>
    </row>
    <row r="24" spans="1:7">
      <c r="A24" s="181"/>
      <c r="B24" s="181" t="s">
        <v>329</v>
      </c>
      <c r="C24" s="181"/>
      <c r="D24" s="195">
        <v>54279500</v>
      </c>
      <c r="E24" s="181"/>
      <c r="F24" s="181"/>
      <c r="G24" s="181"/>
    </row>
    <row r="25" spans="1:7">
      <c r="A25" s="181"/>
      <c r="B25" s="181" t="s">
        <v>330</v>
      </c>
      <c r="C25" s="181"/>
      <c r="D25" s="181"/>
      <c r="E25" s="181"/>
      <c r="F25" s="181"/>
      <c r="G25" s="181"/>
    </row>
    <row r="26" spans="1:7">
      <c r="A26" s="181"/>
      <c r="B26" s="181"/>
      <c r="C26" s="181"/>
      <c r="D26" s="181"/>
      <c r="E26" s="181"/>
      <c r="F26" s="181"/>
      <c r="G26" s="181"/>
    </row>
  </sheetData>
  <pageMargins left="0.7" right="0.7" top="0.75" bottom="0.75" header="0.3" footer="0.3"/>
  <pageSetup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rgb="FFFFFF00"/>
  </sheetPr>
  <dimension ref="A1:P59"/>
  <sheetViews>
    <sheetView showGridLines="0" zoomScale="85" zoomScaleNormal="85" workbookViewId="0">
      <pane xSplit="2" ySplit="5" topLeftCell="C6" activePane="bottomRight" state="frozen"/>
      <selection pane="topRight" activeCell="C1" sqref="C1"/>
      <selection pane="bottomLeft" activeCell="A6" sqref="A6"/>
      <selection pane="bottomRight"/>
    </sheetView>
  </sheetViews>
  <sheetFormatPr defaultRowHeight="14.25"/>
  <cols>
    <col min="1" max="1" width="2.85546875" style="266" customWidth="1"/>
    <col min="2" max="2" width="39.28515625" style="266" customWidth="1"/>
    <col min="3" max="3" width="17.42578125" style="266" customWidth="1"/>
    <col min="4" max="4" width="19.5703125" style="266" bestFit="1" customWidth="1"/>
    <col min="5" max="7" width="13.85546875" style="266" bestFit="1" customWidth="1"/>
    <col min="8" max="8" width="14.7109375" style="266" bestFit="1" customWidth="1"/>
    <col min="9" max="15" width="15.5703125" style="266" bestFit="1" customWidth="1"/>
    <col min="16" max="16" width="9.140625" style="266" customWidth="1"/>
    <col min="17" max="16384" width="9.140625" style="266"/>
  </cols>
  <sheetData>
    <row r="1" spans="1:16" s="258" customFormat="1" ht="32.25">
      <c r="A1" s="261" t="str">
        <f>Index!A1</f>
        <v>Alibaba IPO</v>
      </c>
      <c r="B1" s="257"/>
      <c r="C1" s="257"/>
      <c r="D1" s="257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  <c r="P1" s="257"/>
    </row>
    <row r="2" spans="1:16" s="258" customFormat="1" ht="23.25">
      <c r="A2" s="260" t="s">
        <v>104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</row>
    <row r="3" spans="1:16" ht="23.25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ht="20.25">
      <c r="A4" s="3"/>
      <c r="B4" s="252" t="s">
        <v>174</v>
      </c>
      <c r="C4" s="422" t="s">
        <v>101</v>
      </c>
      <c r="D4" s="422"/>
      <c r="E4" s="422"/>
      <c r="F4" s="422"/>
      <c r="G4" s="422"/>
      <c r="H4" s="422" t="s">
        <v>102</v>
      </c>
      <c r="I4" s="422"/>
      <c r="J4" s="422"/>
      <c r="K4" s="422"/>
      <c r="L4" s="422"/>
      <c r="M4" s="376"/>
      <c r="N4" s="376"/>
      <c r="O4" s="376"/>
      <c r="P4" s="3"/>
    </row>
    <row r="5" spans="1:16" ht="15.75" thickBot="1">
      <c r="A5" s="3"/>
      <c r="B5" s="165" t="s">
        <v>217</v>
      </c>
      <c r="C5" s="11">
        <f>IS!C5</f>
        <v>40268</v>
      </c>
      <c r="D5" s="11">
        <f>IS!D5</f>
        <v>40633</v>
      </c>
      <c r="E5" s="11">
        <f>IS!E5</f>
        <v>40999</v>
      </c>
      <c r="F5" s="11">
        <f>IS!F5</f>
        <v>41364</v>
      </c>
      <c r="G5" s="11">
        <f>IS!G5</f>
        <v>41729</v>
      </c>
      <c r="H5" s="11">
        <f>IS!H5</f>
        <v>42094</v>
      </c>
      <c r="I5" s="11">
        <f>IS!I5</f>
        <v>42460</v>
      </c>
      <c r="J5" s="11">
        <f>IS!J5</f>
        <v>42825</v>
      </c>
      <c r="K5" s="11">
        <f>IS!K5</f>
        <v>43190</v>
      </c>
      <c r="L5" s="11">
        <f>IS!L5</f>
        <v>43555</v>
      </c>
      <c r="M5" s="11">
        <f>IS!M5</f>
        <v>43921</v>
      </c>
      <c r="N5" s="11">
        <f>IS!N5</f>
        <v>44286</v>
      </c>
      <c r="O5" s="11">
        <f>IS!O5</f>
        <v>44651</v>
      </c>
      <c r="P5" s="3"/>
    </row>
    <row r="6" spans="1:1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15">
      <c r="A7" s="3"/>
      <c r="B7" s="297" t="s">
        <v>105</v>
      </c>
      <c r="C7" s="298">
        <f>IS!C27</f>
        <v>-873</v>
      </c>
      <c r="D7" s="298">
        <f>IS!D27</f>
        <v>1322</v>
      </c>
      <c r="E7" s="298">
        <f>IS!E27</f>
        <v>5015</v>
      </c>
      <c r="F7" s="298">
        <f>IS!F27</f>
        <v>10751</v>
      </c>
      <c r="G7" s="298">
        <f>IS!G27</f>
        <v>26513.916800000003</v>
      </c>
      <c r="H7" s="298">
        <f>IS!H27</f>
        <v>33072.039440000008</v>
      </c>
      <c r="I7" s="298">
        <f>IS!I27</f>
        <v>41871.298057600005</v>
      </c>
      <c r="J7" s="298">
        <f>IS!J27</f>
        <v>53259.512940128014</v>
      </c>
      <c r="K7" s="298">
        <f>IS!K27</f>
        <v>68041.952128363846</v>
      </c>
      <c r="L7" s="298">
        <f>IS!L27</f>
        <v>86110.173753048453</v>
      </c>
      <c r="M7" s="298">
        <f>IS!M27</f>
        <v>99366.75381826071</v>
      </c>
      <c r="N7" s="298">
        <f>IS!N27</f>
        <v>109557.77226717066</v>
      </c>
      <c r="O7" s="298">
        <f>IS!O27</f>
        <v>115580.31997662294</v>
      </c>
      <c r="P7" s="299"/>
    </row>
    <row r="8" spans="1:16" ht="6" customHeight="1">
      <c r="A8" s="3"/>
      <c r="B8" s="297"/>
      <c r="C8" s="298"/>
      <c r="D8" s="298"/>
      <c r="E8" s="298"/>
      <c r="F8" s="298"/>
      <c r="G8" s="298"/>
      <c r="H8" s="298"/>
      <c r="I8" s="298"/>
      <c r="J8" s="298"/>
      <c r="K8" s="298"/>
      <c r="L8" s="298"/>
      <c r="M8" s="298"/>
      <c r="N8" s="298"/>
      <c r="O8" s="298"/>
      <c r="P8" s="299"/>
    </row>
    <row r="9" spans="1:16" ht="15">
      <c r="A9" s="3"/>
      <c r="B9" s="297" t="s">
        <v>106</v>
      </c>
      <c r="C9" s="298"/>
      <c r="D9" s="298"/>
      <c r="E9" s="298"/>
      <c r="F9" s="298"/>
      <c r="G9" s="298"/>
      <c r="H9" s="298"/>
      <c r="I9" s="298"/>
      <c r="J9" s="298"/>
      <c r="K9" s="298"/>
      <c r="L9" s="298"/>
      <c r="M9" s="298"/>
      <c r="N9" s="298"/>
      <c r="O9" s="298"/>
      <c r="P9" s="299"/>
    </row>
    <row r="10" spans="1:16" ht="15">
      <c r="A10" s="3"/>
      <c r="B10" s="297" t="s">
        <v>107</v>
      </c>
      <c r="C10" s="298">
        <f>C7*(1-IS!C95)</f>
        <v>-1419.7577854671281</v>
      </c>
      <c r="D10" s="298">
        <f>D7*(1-IS!D95)</f>
        <v>1098.5922480620154</v>
      </c>
      <c r="E10" s="298">
        <f>E7*(1-IS!E95)</f>
        <v>4251.690166305134</v>
      </c>
      <c r="F10" s="298">
        <f>F7*(1-IS!F95)</f>
        <v>9201.9288963607596</v>
      </c>
      <c r="G10" s="298">
        <f>G7*(1-IS!G95)</f>
        <v>24575.332935559694</v>
      </c>
      <c r="H10" s="298">
        <f>H7*(1-IS!H95)</f>
        <v>29103.394707200008</v>
      </c>
      <c r="I10" s="298">
        <f>I7*(1-IS!I95)</f>
        <v>36009.316329536006</v>
      </c>
      <c r="J10" s="298">
        <f>J7*(1-IS!J95)</f>
        <v>45270.585999108807</v>
      </c>
      <c r="K10" s="298">
        <f>K7*(1-IS!K95)</f>
        <v>57155.239787825631</v>
      </c>
      <c r="L10" s="298">
        <f>L7*(1-IS!L95)</f>
        <v>70610.34247749974</v>
      </c>
      <c r="M10" s="298">
        <f>M7*(1-IS!M95)</f>
        <v>79493.403054608571</v>
      </c>
      <c r="N10" s="298">
        <f>N7*(1-IS!N95)</f>
        <v>85455.062368393119</v>
      </c>
      <c r="O10" s="298">
        <f>O7*(1-IS!O95)</f>
        <v>86685.239982467203</v>
      </c>
      <c r="P10" s="299"/>
    </row>
    <row r="11" spans="1:16" ht="15">
      <c r="A11" s="3"/>
      <c r="B11" s="297" t="s">
        <v>111</v>
      </c>
      <c r="C11" s="298"/>
      <c r="D11" s="298"/>
      <c r="E11" s="298">
        <f>CF!E12</f>
        <v>715</v>
      </c>
      <c r="F11" s="298">
        <f>CF!F12</f>
        <v>805</v>
      </c>
      <c r="G11" s="298">
        <f>CF!G12</f>
        <v>947</v>
      </c>
      <c r="H11" s="298">
        <f>CF!H12</f>
        <v>2690.8610488695163</v>
      </c>
      <c r="I11" s="298">
        <f>CF!I12</f>
        <v>5069.3462106130846</v>
      </c>
      <c r="J11" s="298">
        <f>CF!J12</f>
        <v>8088.5234975863787</v>
      </c>
      <c r="K11" s="298">
        <f>CF!K12</f>
        <v>11938.28178693936</v>
      </c>
      <c r="L11" s="298">
        <f>CF!L12</f>
        <v>16830.625206685076</v>
      </c>
      <c r="M11" s="298">
        <f>CF!M12</f>
        <v>22717.127393597591</v>
      </c>
      <c r="N11" s="298">
        <f>CF!N12</f>
        <v>29347.788661310937</v>
      </c>
      <c r="O11" s="298">
        <f>CF!O12</f>
        <v>36493.021708374879</v>
      </c>
      <c r="P11" s="299"/>
    </row>
    <row r="12" spans="1:16" ht="15">
      <c r="A12" s="3"/>
      <c r="B12" s="297" t="s">
        <v>108</v>
      </c>
      <c r="C12" s="298"/>
      <c r="D12" s="298"/>
      <c r="E12" s="298">
        <f>CF!E40</f>
        <v>-749</v>
      </c>
      <c r="F12" s="298">
        <f>CF!F40</f>
        <v>-1046</v>
      </c>
      <c r="G12" s="298">
        <f>CF!G40</f>
        <v>-3010</v>
      </c>
      <c r="H12" s="298">
        <f>CF!H40</f>
        <v>-9224.6391000000003</v>
      </c>
      <c r="I12" s="298">
        <f>CF!I40</f>
        <v>-11678.977764000001</v>
      </c>
      <c r="J12" s="298">
        <f>CF!J40</f>
        <v>-14855.442658920005</v>
      </c>
      <c r="K12" s="298">
        <f>CF!K40</f>
        <v>-18978.643672167607</v>
      </c>
      <c r="L12" s="298">
        <f>CF!L40</f>
        <v>-24018.33358814368</v>
      </c>
      <c r="M12" s="298">
        <f>CF!M40</f>
        <v>-27715.933399721482</v>
      </c>
      <c r="N12" s="298">
        <f>CF!N40</f>
        <v>-30558.46953733066</v>
      </c>
      <c r="O12" s="298">
        <f>CF!O40</f>
        <v>-32238.312390173753</v>
      </c>
      <c r="P12" s="299"/>
    </row>
    <row r="13" spans="1:16" ht="15">
      <c r="A13" s="3"/>
      <c r="B13" s="297" t="s">
        <v>109</v>
      </c>
      <c r="C13" s="298"/>
      <c r="D13" s="298"/>
      <c r="E13" s="298"/>
      <c r="F13" s="298">
        <f>'Working Capital '!F22</f>
        <v>4285</v>
      </c>
      <c r="G13" s="298">
        <f>'Working Capital '!G22</f>
        <v>2260</v>
      </c>
      <c r="H13" s="298">
        <f>'Working Capital '!H22</f>
        <v>3883.6184840000024</v>
      </c>
      <c r="I13" s="298">
        <f>'Working Capital '!I22</f>
        <v>4861.4085833599929</v>
      </c>
      <c r="J13" s="298">
        <f>'Working Capital '!J22</f>
        <v>6291.7534289008036</v>
      </c>
      <c r="K13" s="298">
        <f>'Working Capital '!K22</f>
        <v>8166.992229203046</v>
      </c>
      <c r="L13" s="298">
        <f>'Working Capital '!L22</f>
        <v>9982.3191372740912</v>
      </c>
      <c r="M13" s="298">
        <f>'Working Capital '!M22</f>
        <v>7323.9865897474156</v>
      </c>
      <c r="N13" s="298">
        <f>'Working Capital '!N22</f>
        <v>5630.3271347903355</v>
      </c>
      <c r="O13" s="298">
        <f>'Working Capital '!O22</f>
        <v>3327.3331766684569</v>
      </c>
      <c r="P13" s="299"/>
    </row>
    <row r="14" spans="1:16" ht="15.75" thickBot="1">
      <c r="A14" s="3"/>
      <c r="B14" s="196" t="s">
        <v>110</v>
      </c>
      <c r="C14" s="300"/>
      <c r="D14" s="300"/>
      <c r="E14" s="300"/>
      <c r="F14" s="300">
        <f>SUM(F10:F13)</f>
        <v>13245.92889636076</v>
      </c>
      <c r="G14" s="300">
        <f t="shared" ref="G14:L14" si="0">SUM(G10:G13)</f>
        <v>24772.332935559694</v>
      </c>
      <c r="H14" s="300">
        <f t="shared" si="0"/>
        <v>26453.235140069526</v>
      </c>
      <c r="I14" s="300">
        <f t="shared" si="0"/>
        <v>34261.093359509076</v>
      </c>
      <c r="J14" s="300">
        <f t="shared" si="0"/>
        <v>44795.420266675981</v>
      </c>
      <c r="K14" s="300">
        <f t="shared" si="0"/>
        <v>58281.870131800431</v>
      </c>
      <c r="L14" s="300">
        <f t="shared" si="0"/>
        <v>73404.953233315231</v>
      </c>
      <c r="M14" s="300">
        <f t="shared" ref="M14:N14" si="1">SUM(M10:M13)</f>
        <v>81818.583638232085</v>
      </c>
      <c r="N14" s="300">
        <f t="shared" si="1"/>
        <v>89874.708627163738</v>
      </c>
      <c r="O14" s="300">
        <f t="shared" ref="O14" si="2">SUM(O10:O13)</f>
        <v>94267.282477336776</v>
      </c>
      <c r="P14" s="299"/>
    </row>
    <row r="15" spans="1:16" ht="15.75" thickTop="1">
      <c r="A15" s="3"/>
      <c r="B15" s="299"/>
      <c r="C15" s="298"/>
      <c r="D15" s="298"/>
      <c r="E15" s="298"/>
      <c r="F15" s="298"/>
      <c r="G15" s="298"/>
      <c r="H15" s="298"/>
      <c r="I15" s="298"/>
      <c r="J15" s="298"/>
      <c r="K15" s="298"/>
      <c r="L15" s="298"/>
      <c r="M15" s="298"/>
      <c r="N15" s="298"/>
      <c r="O15" s="298"/>
      <c r="P15" s="299"/>
    </row>
    <row r="16" spans="1:16" ht="15.75" thickBot="1">
      <c r="A16" s="3"/>
      <c r="B16" s="299"/>
      <c r="C16" s="298"/>
      <c r="D16" s="298"/>
      <c r="E16" s="298"/>
      <c r="F16" s="298"/>
      <c r="G16" s="298"/>
      <c r="H16" s="298"/>
      <c r="I16" s="298"/>
      <c r="J16" s="298"/>
      <c r="K16" s="298"/>
      <c r="L16" s="298"/>
      <c r="M16" s="298"/>
      <c r="N16" s="298"/>
      <c r="O16" s="298"/>
      <c r="P16" s="299"/>
    </row>
    <row r="17" spans="1:16" ht="15">
      <c r="A17" s="3"/>
      <c r="B17" s="408" t="s">
        <v>112</v>
      </c>
      <c r="C17" s="409">
        <v>0.09</v>
      </c>
      <c r="D17" s="298"/>
      <c r="E17" s="301"/>
      <c r="F17" s="298"/>
      <c r="G17" s="298"/>
      <c r="H17" s="298"/>
      <c r="I17" s="298"/>
      <c r="J17" s="298"/>
      <c r="K17" s="298"/>
      <c r="L17" s="298"/>
      <c r="M17" s="298"/>
      <c r="N17" s="298"/>
      <c r="O17" s="298"/>
      <c r="P17" s="299"/>
    </row>
    <row r="18" spans="1:16" ht="15.75" thickBot="1">
      <c r="A18" s="3"/>
      <c r="B18" s="411" t="s">
        <v>116</v>
      </c>
      <c r="C18" s="410">
        <v>0.03</v>
      </c>
      <c r="D18" s="299"/>
      <c r="E18" s="299"/>
      <c r="F18" s="302"/>
      <c r="G18" s="302"/>
      <c r="H18" s="302"/>
      <c r="I18" s="302"/>
      <c r="J18" s="302"/>
      <c r="K18" s="302"/>
      <c r="L18" s="302"/>
      <c r="M18" s="302"/>
      <c r="N18" s="302"/>
      <c r="O18" s="302"/>
      <c r="P18" s="299"/>
    </row>
    <row r="19" spans="1:16" ht="15">
      <c r="A19" s="3"/>
      <c r="B19" s="299"/>
      <c r="C19" s="299"/>
      <c r="D19" s="299"/>
      <c r="E19" s="299"/>
      <c r="F19" s="299"/>
      <c r="G19" s="299"/>
      <c r="H19" s="299"/>
      <c r="I19" s="299"/>
      <c r="J19" s="299"/>
      <c r="K19" s="299"/>
      <c r="L19" s="299"/>
      <c r="M19" s="299"/>
      <c r="N19" s="299"/>
      <c r="O19" s="299"/>
      <c r="P19" s="299"/>
    </row>
    <row r="20" spans="1:16">
      <c r="A20" s="3"/>
      <c r="B20" s="424" t="s">
        <v>114</v>
      </c>
      <c r="C20" s="424"/>
      <c r="D20" s="424"/>
      <c r="E20" s="424"/>
      <c r="F20" s="424"/>
      <c r="G20" s="424"/>
      <c r="H20" s="424"/>
      <c r="I20" s="424"/>
      <c r="J20" s="424"/>
      <c r="K20" s="424"/>
      <c r="L20" s="424"/>
      <c r="M20" s="424"/>
      <c r="N20" s="424"/>
      <c r="O20" s="424"/>
      <c r="P20" s="424"/>
    </row>
    <row r="21" spans="1:16" ht="15">
      <c r="A21" s="3"/>
      <c r="B21" s="299"/>
      <c r="C21" s="303">
        <f>C5</f>
        <v>40268</v>
      </c>
      <c r="D21" s="303">
        <f t="shared" ref="D21:J21" si="3">D5</f>
        <v>40633</v>
      </c>
      <c r="E21" s="303">
        <f t="shared" si="3"/>
        <v>40999</v>
      </c>
      <c r="F21" s="303">
        <f t="shared" si="3"/>
        <v>41364</v>
      </c>
      <c r="G21" s="303">
        <f t="shared" si="3"/>
        <v>41729</v>
      </c>
      <c r="H21" s="303">
        <f t="shared" si="3"/>
        <v>42094</v>
      </c>
      <c r="I21" s="303">
        <f t="shared" si="3"/>
        <v>42460</v>
      </c>
      <c r="J21" s="303">
        <f t="shared" si="3"/>
        <v>42825</v>
      </c>
      <c r="K21" s="303">
        <f>K5</f>
        <v>43190</v>
      </c>
      <c r="L21" s="303">
        <f>L5</f>
        <v>43555</v>
      </c>
      <c r="M21" s="303">
        <f>M5</f>
        <v>43921</v>
      </c>
      <c r="N21" s="303">
        <f>N5</f>
        <v>44286</v>
      </c>
      <c r="O21" s="303">
        <f>O5</f>
        <v>44651</v>
      </c>
      <c r="P21" s="299"/>
    </row>
    <row r="22" spans="1:16" ht="15">
      <c r="A22" s="3"/>
      <c r="B22" s="297" t="s">
        <v>79</v>
      </c>
      <c r="C22" s="299"/>
      <c r="D22" s="299"/>
      <c r="E22" s="299"/>
      <c r="F22" s="302"/>
      <c r="G22" s="302"/>
      <c r="H22" s="302">
        <f t="shared" ref="H22:O22" si="4">H14</f>
        <v>26453.235140069526</v>
      </c>
      <c r="I22" s="302">
        <f t="shared" si="4"/>
        <v>34261.093359509076</v>
      </c>
      <c r="J22" s="302">
        <f t="shared" si="4"/>
        <v>44795.420266675981</v>
      </c>
      <c r="K22" s="302">
        <f t="shared" si="4"/>
        <v>58281.870131800431</v>
      </c>
      <c r="L22" s="302">
        <f t="shared" si="4"/>
        <v>73404.953233315231</v>
      </c>
      <c r="M22" s="302">
        <f t="shared" si="4"/>
        <v>81818.583638232085</v>
      </c>
      <c r="N22" s="302">
        <f t="shared" si="4"/>
        <v>89874.708627163738</v>
      </c>
      <c r="O22" s="302">
        <f t="shared" si="4"/>
        <v>94267.282477336776</v>
      </c>
      <c r="P22" s="299"/>
    </row>
    <row r="23" spans="1:16" ht="15">
      <c r="A23" s="3"/>
      <c r="B23" s="297" t="s">
        <v>113</v>
      </c>
      <c r="C23" s="298">
        <f>NPV(C17,H22:O22)</f>
        <v>321952.574441378</v>
      </c>
      <c r="D23" s="299"/>
      <c r="E23" s="299"/>
      <c r="F23" s="299"/>
      <c r="G23" s="299"/>
      <c r="H23" s="299"/>
      <c r="I23" s="299"/>
      <c r="J23" s="299"/>
      <c r="K23" s="299"/>
      <c r="L23" s="299"/>
      <c r="M23" s="299"/>
      <c r="N23" s="299"/>
      <c r="O23" s="299"/>
      <c r="P23" s="299"/>
    </row>
    <row r="24" spans="1:16" ht="15">
      <c r="A24" s="3"/>
      <c r="B24" s="299"/>
      <c r="C24" s="299"/>
      <c r="D24" s="299"/>
      <c r="E24" s="299"/>
      <c r="F24" s="299"/>
      <c r="G24" s="299"/>
      <c r="H24" s="299"/>
      <c r="I24" s="299"/>
      <c r="J24" s="299"/>
      <c r="K24" s="299"/>
      <c r="L24" s="299"/>
      <c r="M24" s="299"/>
      <c r="N24" s="299"/>
      <c r="O24" s="299"/>
      <c r="P24" s="299"/>
    </row>
    <row r="25" spans="1:16" ht="15">
      <c r="A25" s="3"/>
      <c r="B25" s="299"/>
      <c r="C25" s="299"/>
      <c r="D25" s="299"/>
      <c r="E25" s="299"/>
      <c r="F25" s="299"/>
      <c r="G25" s="299"/>
      <c r="H25" s="299"/>
      <c r="I25" s="299"/>
      <c r="J25" s="299"/>
      <c r="K25" s="299"/>
      <c r="L25" s="299"/>
      <c r="M25" s="299"/>
      <c r="N25" s="299"/>
      <c r="O25" s="299"/>
      <c r="P25" s="299"/>
    </row>
    <row r="26" spans="1:16" ht="15">
      <c r="A26" s="3"/>
      <c r="B26" s="297" t="s">
        <v>115</v>
      </c>
      <c r="C26" s="303">
        <f>C5</f>
        <v>40268</v>
      </c>
      <c r="D26" s="303">
        <f t="shared" ref="D26:J26" si="5">D5</f>
        <v>40633</v>
      </c>
      <c r="E26" s="303">
        <f t="shared" si="5"/>
        <v>40999</v>
      </c>
      <c r="F26" s="303">
        <f t="shared" si="5"/>
        <v>41364</v>
      </c>
      <c r="G26" s="303">
        <f t="shared" si="5"/>
        <v>41729</v>
      </c>
      <c r="H26" s="303">
        <f t="shared" si="5"/>
        <v>42094</v>
      </c>
      <c r="I26" s="303">
        <f t="shared" si="5"/>
        <v>42460</v>
      </c>
      <c r="J26" s="303">
        <f t="shared" si="5"/>
        <v>42825</v>
      </c>
      <c r="K26" s="303">
        <f>K5</f>
        <v>43190</v>
      </c>
      <c r="L26" s="303">
        <f>L5</f>
        <v>43555</v>
      </c>
      <c r="M26" s="303">
        <f>M5</f>
        <v>43921</v>
      </c>
      <c r="N26" s="303">
        <f>N5</f>
        <v>44286</v>
      </c>
      <c r="O26" s="303">
        <f>O5</f>
        <v>44651</v>
      </c>
      <c r="P26" s="299"/>
    </row>
    <row r="27" spans="1:16" ht="15">
      <c r="A27" s="3"/>
      <c r="B27" s="297" t="s">
        <v>118</v>
      </c>
      <c r="C27" s="304"/>
      <c r="D27" s="299"/>
      <c r="E27" s="299"/>
      <c r="F27" s="299"/>
      <c r="G27" s="299"/>
      <c r="H27" s="299">
        <v>0</v>
      </c>
      <c r="I27" s="299">
        <v>0</v>
      </c>
      <c r="J27" s="298">
        <v>0</v>
      </c>
      <c r="K27" s="298">
        <v>0</v>
      </c>
      <c r="L27" s="298">
        <v>0</v>
      </c>
      <c r="M27" s="298">
        <v>0</v>
      </c>
      <c r="N27" s="298">
        <v>0</v>
      </c>
      <c r="O27" s="298">
        <f>O14*(1+C18)/(C17-C18)</f>
        <v>1618255.0158609482</v>
      </c>
      <c r="P27" s="299"/>
    </row>
    <row r="28" spans="1:16" ht="15">
      <c r="A28" s="3"/>
      <c r="B28" s="297" t="s">
        <v>117</v>
      </c>
      <c r="C28" s="298">
        <f>NPV(C17,H27:O27)</f>
        <v>812147.62437193026</v>
      </c>
      <c r="D28" s="299"/>
      <c r="E28" s="299"/>
      <c r="F28" s="299"/>
      <c r="G28" s="299"/>
      <c r="H28" s="299"/>
      <c r="I28" s="299"/>
      <c r="J28" s="299"/>
      <c r="K28" s="299"/>
      <c r="L28" s="299"/>
      <c r="M28" s="299"/>
      <c r="N28" s="299"/>
      <c r="O28" s="299"/>
      <c r="P28" s="299"/>
    </row>
    <row r="29" spans="1:16" ht="15">
      <c r="A29" s="3"/>
      <c r="B29" s="299"/>
      <c r="C29" s="299"/>
      <c r="D29" s="299"/>
      <c r="E29" s="299"/>
      <c r="F29" s="299"/>
      <c r="G29" s="299"/>
      <c r="H29" s="299"/>
      <c r="I29" s="299"/>
      <c r="J29" s="299"/>
      <c r="K29" s="299"/>
      <c r="L29" s="299"/>
      <c r="M29" s="299"/>
      <c r="N29" s="299"/>
      <c r="O29" s="299"/>
      <c r="P29" s="299"/>
    </row>
    <row r="30" spans="1:16" ht="15">
      <c r="A30" s="3"/>
      <c r="B30" s="424" t="s">
        <v>119</v>
      </c>
      <c r="C30" s="424"/>
      <c r="D30" s="424"/>
      <c r="E30" s="299"/>
      <c r="F30" s="299"/>
      <c r="G30" s="299"/>
      <c r="H30" s="299"/>
      <c r="I30" s="299"/>
      <c r="J30" s="299"/>
      <c r="K30" s="299"/>
      <c r="L30" s="299"/>
      <c r="M30" s="299"/>
      <c r="N30" s="299"/>
      <c r="O30" s="299"/>
      <c r="P30" s="299"/>
    </row>
    <row r="31" spans="1:16" ht="15">
      <c r="A31" s="3"/>
      <c r="B31" s="297"/>
      <c r="C31" s="297"/>
      <c r="D31" s="297"/>
      <c r="E31" s="299"/>
      <c r="F31" s="299"/>
      <c r="G31" s="299"/>
      <c r="H31" s="299"/>
      <c r="I31" s="299"/>
      <c r="J31" s="299"/>
      <c r="K31" s="299"/>
      <c r="L31" s="299"/>
      <c r="M31" s="299"/>
      <c r="N31" s="299"/>
      <c r="O31" s="299"/>
      <c r="P31" s="299"/>
    </row>
    <row r="32" spans="1:16" ht="15">
      <c r="A32" s="3"/>
      <c r="B32" s="427" t="s">
        <v>120</v>
      </c>
      <c r="C32" s="427" t="s">
        <v>331</v>
      </c>
      <c r="D32" s="427" t="s">
        <v>332</v>
      </c>
      <c r="E32" s="299"/>
      <c r="F32" s="299"/>
      <c r="G32" s="299"/>
      <c r="H32" s="299"/>
      <c r="I32" s="299"/>
      <c r="J32" s="299"/>
      <c r="K32" s="299"/>
      <c r="L32" s="299"/>
      <c r="M32" s="299"/>
      <c r="N32" s="299"/>
      <c r="O32" s="299"/>
      <c r="P32" s="299"/>
    </row>
    <row r="33" spans="1:16" ht="15">
      <c r="A33" s="3"/>
      <c r="B33" s="297" t="s">
        <v>113</v>
      </c>
      <c r="C33" s="305">
        <f>C23</f>
        <v>321952.574441378</v>
      </c>
      <c r="D33" s="413">
        <f>C33/6.2164</f>
        <v>51790.839463576667</v>
      </c>
      <c r="E33" s="306"/>
      <c r="F33" s="299"/>
      <c r="G33" s="299"/>
      <c r="H33" s="299"/>
      <c r="I33" s="299"/>
      <c r="J33" s="299"/>
      <c r="K33" s="299"/>
      <c r="L33" s="299"/>
      <c r="M33" s="299"/>
      <c r="N33" s="299"/>
      <c r="O33" s="299"/>
      <c r="P33" s="299"/>
    </row>
    <row r="34" spans="1:16" ht="15">
      <c r="A34" s="3"/>
      <c r="B34" s="297" t="s">
        <v>117</v>
      </c>
      <c r="C34" s="305">
        <f>C28</f>
        <v>812147.62437193026</v>
      </c>
      <c r="D34" s="413">
        <f>C34/6.2164</f>
        <v>130645.972648467</v>
      </c>
      <c r="E34" s="306"/>
      <c r="F34" s="299"/>
      <c r="G34" s="299"/>
      <c r="H34" s="299"/>
      <c r="I34" s="299"/>
      <c r="J34" s="299"/>
      <c r="K34" s="299"/>
      <c r="L34" s="299"/>
      <c r="M34" s="299"/>
      <c r="N34" s="299"/>
      <c r="O34" s="299"/>
      <c r="P34" s="299"/>
    </row>
    <row r="35" spans="1:16" ht="15">
      <c r="A35" s="3"/>
      <c r="B35" s="297" t="s">
        <v>121</v>
      </c>
      <c r="C35" s="407">
        <f>SUM(C33:C34)</f>
        <v>1134100.1988133083</v>
      </c>
      <c r="D35" s="413">
        <f>C35/6.2164</f>
        <v>182436.81211204367</v>
      </c>
      <c r="E35" s="413"/>
      <c r="F35" s="299"/>
      <c r="G35" s="299"/>
      <c r="H35" s="299"/>
      <c r="I35" s="299"/>
      <c r="J35" s="299"/>
      <c r="K35" s="299"/>
      <c r="L35" s="299"/>
      <c r="M35" s="299"/>
      <c r="N35" s="299"/>
      <c r="O35" s="299"/>
      <c r="P35" s="299"/>
    </row>
    <row r="36" spans="1:16" ht="15">
      <c r="A36" s="3"/>
      <c r="B36" s="420" t="s">
        <v>339</v>
      </c>
      <c r="C36" s="308">
        <f>BS!G8</f>
        <v>48550</v>
      </c>
      <c r="D36" s="413">
        <f>C36/6.2164</f>
        <v>7809.9864873560255</v>
      </c>
      <c r="E36" s="299"/>
      <c r="F36" s="299"/>
      <c r="G36" s="299"/>
      <c r="H36" s="299"/>
      <c r="I36" s="299"/>
      <c r="J36" s="299"/>
      <c r="K36" s="299"/>
      <c r="L36" s="299"/>
      <c r="M36" s="299"/>
      <c r="N36" s="299"/>
      <c r="O36" s="299"/>
      <c r="P36" s="299"/>
    </row>
    <row r="37" spans="1:16" ht="15">
      <c r="A37" s="3"/>
      <c r="B37" s="420" t="s">
        <v>340</v>
      </c>
      <c r="C37" s="308">
        <f>-(BS!G27+BS!G28+BS!G39)</f>
        <v>-40310</v>
      </c>
      <c r="D37" s="413">
        <f>C37/6.2164</f>
        <v>-6484.4604594298953</v>
      </c>
      <c r="E37" s="299"/>
      <c r="F37" s="299"/>
      <c r="G37" s="299"/>
      <c r="H37" s="299"/>
      <c r="I37" s="299"/>
      <c r="J37" s="299"/>
      <c r="K37" s="299"/>
      <c r="L37" s="299"/>
      <c r="M37" s="299"/>
      <c r="N37" s="299"/>
      <c r="O37" s="299"/>
      <c r="P37" s="299"/>
    </row>
    <row r="38" spans="1:16" ht="15">
      <c r="A38" s="3"/>
      <c r="B38" s="297" t="s">
        <v>122</v>
      </c>
      <c r="C38" s="305">
        <f>C35+C36+C37</f>
        <v>1142340.1988133083</v>
      </c>
      <c r="D38" s="413">
        <f t="shared" ref="D38:D45" si="6">C38/6.2134</f>
        <v>183851.06363879814</v>
      </c>
      <c r="E38" s="299"/>
      <c r="F38" s="299"/>
      <c r="G38" s="299"/>
      <c r="H38" s="299"/>
      <c r="I38" s="299"/>
      <c r="J38" s="299"/>
      <c r="K38" s="299"/>
      <c r="L38" s="299"/>
      <c r="M38" s="299"/>
      <c r="N38" s="299"/>
      <c r="O38" s="299"/>
      <c r="P38" s="299"/>
    </row>
    <row r="39" spans="1:16" ht="15">
      <c r="A39" s="3"/>
      <c r="B39" s="420" t="s">
        <v>341</v>
      </c>
      <c r="C39" s="305">
        <f>BS!G9+BS!G10+BS!G17</f>
        <v>12587</v>
      </c>
      <c r="D39" s="413">
        <f>C39/6.2164</f>
        <v>2024.8053535808506</v>
      </c>
      <c r="E39" s="299"/>
      <c r="F39" s="299"/>
      <c r="G39" s="299"/>
      <c r="H39" s="299"/>
      <c r="I39" s="299"/>
      <c r="J39" s="299"/>
      <c r="K39" s="299"/>
      <c r="L39" s="299"/>
      <c r="M39" s="299"/>
      <c r="N39" s="299"/>
      <c r="O39" s="299"/>
      <c r="P39" s="299"/>
    </row>
    <row r="40" spans="1:16" ht="15">
      <c r="A40" s="3"/>
      <c r="B40" s="426" t="s">
        <v>342</v>
      </c>
      <c r="C40" s="305">
        <f>BS!G16</f>
        <v>13009</v>
      </c>
      <c r="D40" s="413">
        <f>C40/6.2164</f>
        <v>2092.6903030693006</v>
      </c>
      <c r="E40" s="299"/>
      <c r="F40" s="299"/>
      <c r="G40" s="299"/>
      <c r="H40" s="299"/>
      <c r="I40" s="299"/>
      <c r="J40" s="299"/>
      <c r="K40" s="299"/>
      <c r="L40" s="299"/>
      <c r="M40" s="299"/>
      <c r="N40" s="299"/>
      <c r="O40" s="299"/>
      <c r="P40" s="299"/>
    </row>
    <row r="41" spans="1:16" ht="15">
      <c r="A41" s="3"/>
      <c r="B41" s="420" t="s">
        <v>343</v>
      </c>
      <c r="C41" s="305">
        <f>D41*6.2164</f>
        <v>24865.600000000002</v>
      </c>
      <c r="D41" s="413">
        <v>4000</v>
      </c>
      <c r="E41" s="299"/>
      <c r="F41" s="299"/>
      <c r="G41" s="299"/>
      <c r="H41" s="299"/>
      <c r="I41" s="299"/>
      <c r="J41" s="299"/>
      <c r="K41" s="299"/>
      <c r="L41" s="299"/>
      <c r="M41" s="299"/>
      <c r="N41" s="299"/>
      <c r="O41" s="299"/>
      <c r="P41" s="299"/>
    </row>
    <row r="42" spans="1:16" ht="15">
      <c r="A42" s="3"/>
      <c r="B42" s="297" t="s">
        <v>146</v>
      </c>
      <c r="C42" s="307">
        <f ca="1">'Option value'!B39</f>
        <v>3206.7328182807487</v>
      </c>
      <c r="D42" s="413">
        <f t="shared" ca="1" si="6"/>
        <v>516.09952977126034</v>
      </c>
      <c r="E42" s="299"/>
      <c r="F42" s="299"/>
      <c r="G42" s="299"/>
      <c r="H42" s="299"/>
      <c r="I42" s="299"/>
      <c r="J42" s="299"/>
      <c r="K42" s="299"/>
      <c r="L42" s="299"/>
      <c r="M42" s="299"/>
      <c r="N42" s="299"/>
      <c r="O42" s="299"/>
      <c r="P42" s="299"/>
    </row>
    <row r="43" spans="1:16" ht="15.75" thickBot="1">
      <c r="A43" s="3"/>
      <c r="B43" s="198" t="s">
        <v>173</v>
      </c>
      <c r="C43" s="430">
        <f ca="1">C38+C39+C40+C41-C42</f>
        <v>1189595.0659950275</v>
      </c>
      <c r="D43" s="197">
        <f ca="1">D38+D39+D40+D41-D42</f>
        <v>191452.45976567705</v>
      </c>
      <c r="E43" s="315" t="s">
        <v>344</v>
      </c>
      <c r="F43" s="299"/>
      <c r="G43" s="299"/>
      <c r="H43" s="299"/>
      <c r="I43" s="299"/>
      <c r="J43" s="299"/>
      <c r="K43" s="299"/>
      <c r="L43" s="299"/>
      <c r="M43" s="299"/>
      <c r="N43" s="299"/>
      <c r="O43" s="299"/>
      <c r="P43" s="299"/>
    </row>
    <row r="44" spans="1:16" ht="15.75" thickTop="1">
      <c r="A44" s="3"/>
      <c r="B44" s="428"/>
      <c r="C44" s="429"/>
      <c r="D44" s="429"/>
      <c r="E44" s="315"/>
      <c r="F44" s="299"/>
      <c r="G44" s="299"/>
      <c r="H44" s="299"/>
      <c r="I44" s="299"/>
      <c r="J44" s="299"/>
      <c r="K44" s="299"/>
      <c r="L44" s="299"/>
      <c r="M44" s="299"/>
      <c r="N44" s="299"/>
      <c r="O44" s="299"/>
      <c r="P44" s="299"/>
    </row>
    <row r="45" spans="1:16" ht="15.75" thickBot="1">
      <c r="A45" s="3"/>
      <c r="B45" s="309" t="s">
        <v>123</v>
      </c>
      <c r="C45" s="310">
        <f ca="1">C43/('Shares Outstanding '!C12/10^6)</f>
        <v>486.21464648537358</v>
      </c>
      <c r="D45" s="310">
        <f t="shared" ca="1" si="6"/>
        <v>78.252590608261755</v>
      </c>
      <c r="E45" s="299"/>
      <c r="F45" s="299"/>
      <c r="G45" s="299"/>
      <c r="H45" s="299"/>
      <c r="I45" s="299"/>
      <c r="J45" s="299"/>
      <c r="K45" s="299"/>
      <c r="L45" s="299"/>
      <c r="M45" s="299"/>
      <c r="N45" s="299"/>
      <c r="O45" s="299"/>
      <c r="P45" s="299"/>
    </row>
    <row r="46" spans="1:16" ht="15">
      <c r="A46" s="3"/>
      <c r="B46" s="299"/>
      <c r="C46" s="304"/>
      <c r="D46" s="299"/>
      <c r="E46" s="87"/>
      <c r="F46" s="299"/>
      <c r="G46" s="299"/>
      <c r="H46" s="299"/>
      <c r="I46" s="299"/>
      <c r="J46" s="299"/>
      <c r="K46" s="299"/>
      <c r="L46" s="299"/>
      <c r="M46" s="299"/>
      <c r="N46" s="299"/>
      <c r="O46" s="299"/>
      <c r="P46" s="299"/>
    </row>
    <row r="47" spans="1:16" ht="13.5" customHeight="1">
      <c r="A47" s="3"/>
      <c r="B47" s="299"/>
      <c r="C47" s="299"/>
      <c r="D47" s="311" t="s">
        <v>124</v>
      </c>
      <c r="E47" s="299"/>
      <c r="F47" s="299"/>
      <c r="G47" s="299"/>
      <c r="H47" s="299"/>
      <c r="I47" s="299"/>
      <c r="J47" s="299"/>
      <c r="K47" s="299"/>
      <c r="L47" s="299"/>
      <c r="M47" s="299"/>
      <c r="N47" s="299"/>
      <c r="O47" s="299"/>
      <c r="P47" s="299"/>
    </row>
    <row r="48" spans="1:16" ht="21.75" customHeight="1">
      <c r="A48" s="3"/>
      <c r="B48" s="299"/>
      <c r="C48" s="299"/>
      <c r="D48" s="299"/>
      <c r="E48" s="425" t="s">
        <v>125</v>
      </c>
      <c r="F48" s="425"/>
      <c r="G48" s="425"/>
      <c r="H48" s="425"/>
      <c r="I48" s="425"/>
      <c r="J48" s="299"/>
      <c r="K48" s="299"/>
      <c r="L48" s="299"/>
      <c r="M48" s="299"/>
      <c r="N48" s="299"/>
      <c r="O48" s="299"/>
      <c r="P48" s="299"/>
    </row>
    <row r="49" spans="1:16" ht="15">
      <c r="A49" s="3"/>
      <c r="B49" s="299"/>
      <c r="C49" s="299"/>
      <c r="D49" s="312">
        <f ca="1">D43/10^3</f>
        <v>191.45245976567705</v>
      </c>
      <c r="E49" s="313">
        <v>7.0000000000000007E-2</v>
      </c>
      <c r="F49" s="313">
        <v>0.08</v>
      </c>
      <c r="G49" s="313">
        <v>0.09</v>
      </c>
      <c r="H49" s="313">
        <v>0.1</v>
      </c>
      <c r="I49" s="313">
        <v>0.11</v>
      </c>
      <c r="J49" s="299"/>
      <c r="K49" s="299"/>
      <c r="L49" s="299"/>
      <c r="M49" s="299"/>
      <c r="N49" s="299"/>
      <c r="O49" s="299"/>
      <c r="P49" s="299"/>
    </row>
    <row r="50" spans="1:16" ht="15" customHeight="1">
      <c r="A50" s="3"/>
      <c r="B50" s="299"/>
      <c r="C50" s="423" t="s">
        <v>126</v>
      </c>
      <c r="D50" s="314">
        <v>0.01</v>
      </c>
      <c r="E50" s="431">
        <f t="dataTable" ref="E50:I55" dt2D="1" dtr="1" r1="C17" r2="C18" ca="1"/>
        <v>214.43787178506381</v>
      </c>
      <c r="F50" s="431">
        <v>181.45742615492688</v>
      </c>
      <c r="G50" s="431">
        <v>156.87166685343522</v>
      </c>
      <c r="H50" s="431">
        <v>137.87440807480831</v>
      </c>
      <c r="I50" s="433">
        <v>122.78244687017404</v>
      </c>
      <c r="J50" s="299"/>
      <c r="K50" s="299"/>
      <c r="L50" s="299"/>
      <c r="M50" s="299"/>
      <c r="N50" s="299"/>
      <c r="O50" s="299"/>
      <c r="P50" s="299"/>
    </row>
    <row r="51" spans="1:16" ht="15">
      <c r="A51" s="3"/>
      <c r="B51" s="299"/>
      <c r="C51" s="423"/>
      <c r="D51" s="314">
        <v>0.02</v>
      </c>
      <c r="E51" s="431">
        <v>245.93159279177149</v>
      </c>
      <c r="F51" s="431">
        <v>202.53478044181705</v>
      </c>
      <c r="G51" s="431">
        <v>171.69200667296744</v>
      </c>
      <c r="H51" s="431">
        <v>148.68751212027468</v>
      </c>
      <c r="I51" s="431">
        <v>130.90192868493077</v>
      </c>
      <c r="J51" s="299"/>
      <c r="K51" s="299"/>
      <c r="L51" s="299"/>
      <c r="M51" s="299"/>
      <c r="N51" s="299"/>
      <c r="O51" s="299"/>
      <c r="P51" s="299"/>
    </row>
    <row r="52" spans="1:16" ht="15">
      <c r="A52" s="3"/>
      <c r="B52" s="299"/>
      <c r="C52" s="423"/>
      <c r="D52" s="314">
        <v>0.03</v>
      </c>
      <c r="E52" s="431">
        <v>293.17217430183302</v>
      </c>
      <c r="F52" s="431">
        <v>232.04307644346318</v>
      </c>
      <c r="G52" s="432">
        <v>191.45245976567705</v>
      </c>
      <c r="H52" s="431">
        <v>162.59007446444576</v>
      </c>
      <c r="I52" s="431">
        <v>141.0512809533767</v>
      </c>
      <c r="J52" s="299"/>
      <c r="K52" s="299"/>
      <c r="L52" s="299"/>
      <c r="M52" s="299"/>
      <c r="N52" s="299"/>
      <c r="O52" s="299"/>
      <c r="P52" s="299"/>
    </row>
    <row r="53" spans="1:16" ht="15">
      <c r="A53" s="3"/>
      <c r="B53" s="299"/>
      <c r="C53" s="423"/>
      <c r="D53" s="314">
        <v>0.04</v>
      </c>
      <c r="E53" s="431">
        <v>371.9064768186023</v>
      </c>
      <c r="F53" s="431">
        <v>276.30552044593242</v>
      </c>
      <c r="G53" s="431">
        <v>219.11709409547046</v>
      </c>
      <c r="H53" s="431">
        <v>181.12682425667384</v>
      </c>
      <c r="I53" s="431">
        <v>154.10044815566428</v>
      </c>
      <c r="J53" s="299"/>
      <c r="K53" s="299"/>
      <c r="L53" s="299"/>
      <c r="M53" s="299"/>
      <c r="N53" s="299"/>
      <c r="O53" s="299"/>
      <c r="P53" s="299"/>
    </row>
    <row r="54" spans="1:16" ht="15">
      <c r="A54" s="3"/>
      <c r="B54" s="299"/>
      <c r="C54" s="423"/>
      <c r="D54" s="314">
        <v>0.05</v>
      </c>
      <c r="E54" s="431">
        <v>529.37508185214085</v>
      </c>
      <c r="F54" s="431">
        <v>350.07626045004776</v>
      </c>
      <c r="G54" s="431">
        <v>260.61404559016069</v>
      </c>
      <c r="H54" s="431">
        <v>207.07827396579313</v>
      </c>
      <c r="I54" s="431">
        <v>171.49933775871443</v>
      </c>
      <c r="J54" s="299"/>
      <c r="K54" s="299"/>
      <c r="L54" s="299"/>
      <c r="M54" s="299"/>
      <c r="N54" s="299"/>
      <c r="O54" s="299"/>
      <c r="P54" s="299"/>
    </row>
    <row r="55" spans="1:16" ht="15">
      <c r="A55" s="3"/>
      <c r="B55" s="299"/>
      <c r="C55" s="423"/>
      <c r="D55" s="412">
        <v>0.06</v>
      </c>
      <c r="E55" s="433">
        <v>1001.7808969527556</v>
      </c>
      <c r="F55" s="431">
        <v>497.61774045827843</v>
      </c>
      <c r="G55" s="431">
        <v>329.77563141464429</v>
      </c>
      <c r="H55" s="431">
        <v>246.00544852947209</v>
      </c>
      <c r="I55" s="431">
        <v>195.85778320298456</v>
      </c>
      <c r="J55" s="299"/>
      <c r="K55" s="299">
        <f>713/295</f>
        <v>2.4169491525423727</v>
      </c>
      <c r="L55" s="299"/>
      <c r="M55" s="299"/>
      <c r="N55" s="299"/>
      <c r="O55" s="299"/>
      <c r="P55" s="299"/>
    </row>
    <row r="56" spans="1:1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</row>
    <row r="57" spans="1:16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</row>
    <row r="58" spans="1:16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</row>
    <row r="59" spans="1:16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</row>
  </sheetData>
  <mergeCells count="6">
    <mergeCell ref="C4:G4"/>
    <mergeCell ref="H4:L4"/>
    <mergeCell ref="C50:C55"/>
    <mergeCell ref="B20:P20"/>
    <mergeCell ref="B30:D30"/>
    <mergeCell ref="E48:I48"/>
  </mergeCells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Index</vt:lpstr>
      <vt:lpstr>Quarterly IS</vt:lpstr>
      <vt:lpstr>IS</vt:lpstr>
      <vt:lpstr>BS</vt:lpstr>
      <vt:lpstr>CF</vt:lpstr>
      <vt:lpstr>Working Capital </vt:lpstr>
      <vt:lpstr>Dep Capex </vt:lpstr>
      <vt:lpstr>Amort Intangible</vt:lpstr>
      <vt:lpstr>Debt</vt:lpstr>
      <vt:lpstr>Shareholders Equity</vt:lpstr>
      <vt:lpstr>Option value</vt:lpstr>
      <vt:lpstr>Shares Outstanding </vt:lpstr>
      <vt:lpstr>DCF Valuations</vt:lpstr>
    </vt:vector>
  </TitlesOfParts>
  <Company>WallstreetMojo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Box Inc Financial Model</dc:title>
  <dc:subject>wallstreetmojo.com</dc:subject>
  <dc:creator>Dheeraj Vaidya, CFA, FRM</dc:creator>
  <dc:description>wallstreetmojo.com</dc:description>
  <cp:lastModifiedBy>rise</cp:lastModifiedBy>
  <dcterms:created xsi:type="dcterms:W3CDTF">2013-06-17T08:47:06Z</dcterms:created>
  <dcterms:modified xsi:type="dcterms:W3CDTF">2014-05-15T06:49:51Z</dcterms:modified>
</cp:coreProperties>
</file>